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124226"/>
  <xr:revisionPtr revIDLastSave="0" documentId="13_ncr:1_{2BE78D24-F12D-495D-8299-542EA1789D75}" xr6:coauthVersionLast="47" xr6:coauthVersionMax="47" xr10:uidLastSave="{00000000-0000-0000-0000-000000000000}"/>
  <bookViews>
    <workbookView xWindow="10140" yWindow="0" windowWidth="10455" windowHeight="10905" tabRatio="838" firstSheet="14" activeTab="15" xr2:uid="{00000000-000D-0000-FFFF-FFFF00000000}"/>
  </bookViews>
  <sheets>
    <sheet name="GFA" sheetId="1" r:id="rId1"/>
    <sheet name="Acc. Dep" sheetId="4" r:id="rId2"/>
    <sheet name="Depn. Cal'n" sheetId="2" r:id="rId3"/>
    <sheet name="Dep'n 23-27" sheetId="9" r:id="rId4"/>
    <sheet name="ROE Sheet" sheetId="50" r:id="rId5"/>
    <sheet name="ROE " sheetId="13" r:id="rId6"/>
    <sheet name="ROI" sheetId="28" r:id="rId7"/>
    <sheet name="Int on Loan Sheet" sheetId="49" r:id="rId8"/>
    <sheet name="Int. on Loan 24-26" sheetId="11" r:id="rId9"/>
    <sheet name="IoWC Cal'n" sheetId="14" r:id="rId10"/>
    <sheet name="vc" sheetId="55" r:id="rId11"/>
    <sheet name="IoWC 23-24" sheetId="16" r:id="rId12"/>
    <sheet name="F8-NTI" sheetId="26" r:id="rId13"/>
    <sheet name="additional pension" sheetId="51" r:id="rId14"/>
    <sheet name="O&amp;M" sheetId="30" r:id="rId15"/>
    <sheet name="Fixed Charges" sheetId="47" r:id="rId16"/>
    <sheet name="APPROVED" sheetId="53" r:id="rId17"/>
    <sheet name="GFA additions" sheetId="54" r:id="rId18"/>
    <sheet name="Variation" sheetId="56" r:id="rId19"/>
    <sheet name="ECR " sheetId="57" r:id="rId20"/>
    <sheet name="Sheet1" sheetId="58" r:id="rId21"/>
  </sheets>
  <externalReferences>
    <externalReference r:id="rId22"/>
    <externalReference r:id="rId23"/>
  </externalReferences>
  <definedNames>
    <definedName name="__123Graph_A" localSheetId="12" hidden="1">#REF!</definedName>
    <definedName name="__123Graph_ASTNPLF" localSheetId="12" hidden="1">#REF!</definedName>
    <definedName name="__123Graph_B" localSheetId="12" hidden="1">#REF!</definedName>
    <definedName name="__123Graph_BSTNPLF" localSheetId="12" hidden="1">#REF!</definedName>
    <definedName name="__123Graph_C" localSheetId="12" hidden="1">#REF!</definedName>
    <definedName name="__123Graph_CSTNPLF" localSheetId="12" hidden="1">#REF!</definedName>
    <definedName name="__123Graph_X" localSheetId="12" hidden="1">#REF!</definedName>
    <definedName name="__123Graph_XSTNPLF" localSheetId="12" hidden="1">#REF!</definedName>
    <definedName name="_Fill" localSheetId="12" hidden="1">#REF!</definedName>
    <definedName name="new" localSheetId="12" hidden="1">#REF!</definedName>
    <definedName name="_xlnm.Print_Area" localSheetId="0">GFA!$A$1:$L$18</definedName>
    <definedName name="_xlnm.Print_Area" localSheetId="9">'IoWC Cal''n'!#REF!</definedName>
    <definedName name="_xlnm.Print_Area" localSheetId="14">'O&amp;M'!#REF!</definedName>
    <definedName name="_xlnm.Print_Area" localSheetId="4">'ROE Sheet'!#REF!</definedName>
    <definedName name="xxxx" localSheetId="12" hidden="1">#REF!</definedName>
  </definedNames>
  <calcPr calcId="191029" iterate="1" iterateCount="10000" iterateDelta="1.0000000000000001E-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53" l="1"/>
  <c r="AN45" i="56" s="1"/>
  <c r="P8" i="53"/>
  <c r="P10" i="53"/>
  <c r="P11" i="53"/>
  <c r="P12" i="53"/>
  <c r="P13" i="53"/>
  <c r="P14" i="53"/>
  <c r="P15" i="53"/>
  <c r="P16" i="53"/>
  <c r="P17" i="53"/>
  <c r="P18" i="53"/>
  <c r="P19" i="53"/>
  <c r="P20" i="53"/>
  <c r="P21" i="53"/>
  <c r="P6" i="53"/>
  <c r="P22" i="53" s="1"/>
  <c r="Y4" i="57"/>
  <c r="Z4" i="57"/>
  <c r="Y5" i="57"/>
  <c r="Z5" i="57"/>
  <c r="Y7" i="57"/>
  <c r="Z7" i="57"/>
  <c r="Y8" i="57"/>
  <c r="Z8" i="57"/>
  <c r="Y9" i="57"/>
  <c r="Z9" i="57"/>
  <c r="Z3" i="57"/>
  <c r="Z18" i="57" s="1"/>
  <c r="Y3" i="57"/>
  <c r="Y18" i="57" s="1"/>
  <c r="AA6" i="57"/>
  <c r="AB6" i="57"/>
  <c r="R18" i="57" l="1"/>
  <c r="Q18" i="57"/>
  <c r="S6" i="57"/>
  <c r="I19" i="57" l="1"/>
  <c r="D12" i="58"/>
  <c r="D11" i="58"/>
  <c r="C10" i="58"/>
  <c r="C13" i="58" s="1"/>
  <c r="J18" i="57"/>
  <c r="C4" i="57" l="1"/>
  <c r="F4" i="57"/>
  <c r="C5" i="57"/>
  <c r="F5" i="57"/>
  <c r="C6" i="57"/>
  <c r="F6" i="57"/>
  <c r="C7" i="57"/>
  <c r="F7" i="57"/>
  <c r="C8" i="57"/>
  <c r="F8" i="57"/>
  <c r="C9" i="57"/>
  <c r="F9" i="57"/>
  <c r="C10" i="57"/>
  <c r="C11" i="57"/>
  <c r="C12" i="57"/>
  <c r="C13" i="57"/>
  <c r="C14" i="57"/>
  <c r="C15" i="57"/>
  <c r="C16" i="57"/>
  <c r="C17" i="57"/>
  <c r="F3" i="57"/>
  <c r="C3" i="57"/>
  <c r="AS12" i="56"/>
  <c r="H11" i="57" s="1"/>
  <c r="AS13" i="56"/>
  <c r="H12" i="57" s="1"/>
  <c r="AS14" i="56"/>
  <c r="H13" i="57" s="1"/>
  <c r="AS15" i="56"/>
  <c r="H14" i="57" s="1"/>
  <c r="AS16" i="56"/>
  <c r="H15" i="57" s="1"/>
  <c r="AS17" i="56"/>
  <c r="H16" i="57" s="1"/>
  <c r="AS18" i="56"/>
  <c r="H17" i="57" s="1"/>
  <c r="AS11" i="56"/>
  <c r="H10" i="57" s="1"/>
  <c r="AS10" i="56"/>
  <c r="H9" i="57" s="1"/>
  <c r="AS9" i="56"/>
  <c r="H8" i="57" s="1"/>
  <c r="AS8" i="56"/>
  <c r="H7" i="57" s="1"/>
  <c r="AS7" i="56"/>
  <c r="H6" i="57" s="1"/>
  <c r="AS6" i="56"/>
  <c r="H5" i="57" s="1"/>
  <c r="AS5" i="56"/>
  <c r="H4" i="57" s="1"/>
  <c r="AS4" i="56"/>
  <c r="H3" i="57" l="1"/>
  <c r="AS19" i="56"/>
  <c r="I18" i="57"/>
  <c r="AI5" i="56"/>
  <c r="AI6" i="56"/>
  <c r="AI7" i="56"/>
  <c r="AI8" i="56"/>
  <c r="AI9" i="56"/>
  <c r="AI10" i="56"/>
  <c r="AI11" i="56"/>
  <c r="AI12" i="56"/>
  <c r="AI13" i="56"/>
  <c r="AI14" i="56"/>
  <c r="AI16" i="56"/>
  <c r="AI17" i="56"/>
  <c r="AI18" i="56"/>
  <c r="AI4" i="56"/>
  <c r="G10" i="58" l="1"/>
  <c r="E17" i="58"/>
  <c r="H18" i="57"/>
  <c r="H11" i="1"/>
  <c r="BJ45" i="56" l="1"/>
  <c r="K9" i="57" s="1"/>
  <c r="BI45" i="56"/>
  <c r="BJ44" i="56"/>
  <c r="K8" i="57" s="1"/>
  <c r="BI44" i="56"/>
  <c r="BJ43" i="56"/>
  <c r="K7" i="57" s="1"/>
  <c r="BI43" i="56"/>
  <c r="BJ42" i="56"/>
  <c r="K6" i="57" s="1"/>
  <c r="BI42" i="56"/>
  <c r="BJ41" i="56"/>
  <c r="K5" i="57" s="1"/>
  <c r="BI41" i="56"/>
  <c r="BJ40" i="56"/>
  <c r="K4" i="57" s="1"/>
  <c r="BJ39" i="56"/>
  <c r="K3" i="57" s="1"/>
  <c r="I20" i="57" s="1"/>
  <c r="I21" i="57" s="1"/>
  <c r="BI40" i="56"/>
  <c r="BI39" i="56"/>
  <c r="BJ32" i="56" l="1"/>
  <c r="BM32" i="56" s="1"/>
  <c r="BJ33" i="56"/>
  <c r="BM33" i="56" s="1"/>
  <c r="BJ31" i="56"/>
  <c r="BJ30" i="56"/>
  <c r="BM30" i="56" s="1"/>
  <c r="BJ29" i="56"/>
  <c r="BM29" i="56" s="1"/>
  <c r="BJ28" i="56"/>
  <c r="BM28" i="56" s="1"/>
  <c r="BJ27" i="56"/>
  <c r="BM27" i="56" s="1"/>
  <c r="BI28" i="56"/>
  <c r="BL28" i="56" s="1"/>
  <c r="BI29" i="56"/>
  <c r="BL29" i="56" s="1"/>
  <c r="BI30" i="56"/>
  <c r="BL30" i="56" s="1"/>
  <c r="BI31" i="56"/>
  <c r="BL31" i="56" s="1"/>
  <c r="BI32" i="56"/>
  <c r="BL32" i="56" s="1"/>
  <c r="BI33" i="56"/>
  <c r="BL33" i="56" s="1"/>
  <c r="BI27" i="56"/>
  <c r="BL27" i="56" s="1"/>
  <c r="BH23" i="56"/>
  <c r="BI23" i="56"/>
  <c r="BJ23" i="56"/>
  <c r="BK23" i="56"/>
  <c r="BL23" i="56"/>
  <c r="BM23" i="56"/>
  <c r="BN23" i="56"/>
  <c r="BO23" i="56"/>
  <c r="BP23" i="56"/>
  <c r="BQ23" i="56"/>
  <c r="BR23" i="56"/>
  <c r="BS23" i="56"/>
  <c r="BT23" i="56"/>
  <c r="BG23" i="56"/>
  <c r="BM31" i="56" l="1"/>
  <c r="BK31" i="56"/>
  <c r="BN31" i="56" s="1"/>
  <c r="BJ34" i="56"/>
  <c r="BM34" i="56" s="1"/>
  <c r="BK32" i="56"/>
  <c r="BN32" i="56" s="1"/>
  <c r="BK28" i="56"/>
  <c r="BN28" i="56" s="1"/>
  <c r="BK33" i="56"/>
  <c r="BN33" i="56" s="1"/>
  <c r="BK29" i="56"/>
  <c r="BN29" i="56" s="1"/>
  <c r="BI34" i="56"/>
  <c r="BL34" i="56" s="1"/>
  <c r="BK27" i="56"/>
  <c r="BK30" i="56"/>
  <c r="BN30" i="56" s="1"/>
  <c r="BN27" i="56" l="1"/>
  <c r="BK34" i="56"/>
  <c r="BN34" i="56"/>
  <c r="G195" i="55"/>
  <c r="G194" i="55"/>
  <c r="G196" i="55" s="1"/>
  <c r="G192" i="55"/>
  <c r="G193" i="55" s="1"/>
  <c r="F192" i="55"/>
  <c r="F191" i="55"/>
  <c r="F189" i="55"/>
  <c r="F195" i="55" s="1"/>
  <c r="F194" i="55" l="1"/>
  <c r="F196" i="55" s="1"/>
  <c r="F193" i="55"/>
  <c r="AI17" i="55" l="1"/>
  <c r="AI18" i="55"/>
  <c r="AI19" i="55"/>
  <c r="AI20" i="55"/>
  <c r="AI21" i="55"/>
  <c r="AI16" i="55"/>
  <c r="G53" i="55" s="1"/>
  <c r="AH19" i="55"/>
  <c r="AK19" i="55" s="1"/>
  <c r="I56" i="55" s="1"/>
  <c r="AH20" i="55"/>
  <c r="AH21" i="55"/>
  <c r="AK21" i="55" s="1"/>
  <c r="I58" i="55" s="1"/>
  <c r="AC21" i="55"/>
  <c r="AC20" i="55"/>
  <c r="AC19" i="55"/>
  <c r="AC18" i="55"/>
  <c r="AC17" i="55"/>
  <c r="AC16" i="55"/>
  <c r="I18" i="55"/>
  <c r="I21" i="55"/>
  <c r="I20" i="55"/>
  <c r="I19" i="55"/>
  <c r="I17" i="55"/>
  <c r="I16" i="55"/>
  <c r="D19" i="55"/>
  <c r="D21" i="55"/>
  <c r="D20" i="55"/>
  <c r="D18" i="55"/>
  <c r="D17" i="55"/>
  <c r="D16" i="55"/>
  <c r="G54" i="55"/>
  <c r="G55" i="55"/>
  <c r="G56" i="55"/>
  <c r="G57" i="55"/>
  <c r="G58" i="55"/>
  <c r="AK20" i="55"/>
  <c r="I57" i="55" s="1"/>
  <c r="N16" i="55"/>
  <c r="AH16" i="55" s="1"/>
  <c r="N17" i="55"/>
  <c r="AH17" i="55" s="1"/>
  <c r="N18" i="55"/>
  <c r="AB21" i="55"/>
  <c r="W21" i="55"/>
  <c r="R21" i="55"/>
  <c r="M21" i="55"/>
  <c r="AG21" i="55" s="1"/>
  <c r="H21" i="55"/>
  <c r="C21" i="55"/>
  <c r="AB20" i="55"/>
  <c r="W20" i="55"/>
  <c r="R20" i="55"/>
  <c r="M20" i="55"/>
  <c r="H20" i="55"/>
  <c r="C20" i="55"/>
  <c r="AB19" i="55"/>
  <c r="W19" i="55"/>
  <c r="R19" i="55"/>
  <c r="M19" i="55"/>
  <c r="AG19" i="55" s="1"/>
  <c r="H19" i="55"/>
  <c r="C19" i="55"/>
  <c r="AB18" i="55"/>
  <c r="W18" i="55"/>
  <c r="R18" i="55"/>
  <c r="M18" i="55"/>
  <c r="H18" i="55"/>
  <c r="C18" i="55"/>
  <c r="AB17" i="55"/>
  <c r="W17" i="55"/>
  <c r="R17" i="55"/>
  <c r="M17" i="55"/>
  <c r="AG17" i="55" s="1"/>
  <c r="H17" i="55"/>
  <c r="C17" i="55"/>
  <c r="AB16" i="55"/>
  <c r="W16" i="55"/>
  <c r="R16" i="55"/>
  <c r="M16" i="55"/>
  <c r="H16" i="55"/>
  <c r="C16" i="55"/>
  <c r="AY13" i="56"/>
  <c r="AQ6" i="14"/>
  <c r="AQ7" i="14"/>
  <c r="AQ8" i="14"/>
  <c r="AQ9" i="14"/>
  <c r="AQ10" i="14"/>
  <c r="AQ11" i="14"/>
  <c r="AQ5" i="14"/>
  <c r="AP12" i="14"/>
  <c r="AQ12" i="14" s="1"/>
  <c r="AN6" i="14"/>
  <c r="AN7" i="14"/>
  <c r="AN8" i="14"/>
  <c r="AN9" i="14"/>
  <c r="AN10" i="14"/>
  <c r="AN11" i="14"/>
  <c r="AN5" i="14"/>
  <c r="AM12" i="14"/>
  <c r="AL12" i="14"/>
  <c r="BI13" i="56"/>
  <c r="BJ13" i="56" s="1"/>
  <c r="H39" i="47"/>
  <c r="BD13" i="56" l="1"/>
  <c r="AN12" i="14"/>
  <c r="AG16" i="55"/>
  <c r="AG18" i="55"/>
  <c r="AG20" i="55"/>
  <c r="AH18" i="55"/>
  <c r="AK18" i="55" s="1"/>
  <c r="I55" i="55" s="1"/>
  <c r="AK17" i="55"/>
  <c r="I54" i="55" s="1"/>
  <c r="AK16" i="55"/>
  <c r="I53" i="55" s="1"/>
  <c r="AJ17" i="55"/>
  <c r="H54" i="55" s="1"/>
  <c r="AJ19" i="55"/>
  <c r="H56" i="55" s="1"/>
  <c r="AJ21" i="55"/>
  <c r="H58" i="55" s="1"/>
  <c r="AJ20" i="55"/>
  <c r="H57" i="55" s="1"/>
  <c r="AJ16" i="55"/>
  <c r="H53" i="55" s="1"/>
  <c r="AJ18" i="55"/>
  <c r="H55" i="55" s="1"/>
  <c r="AH49" i="14"/>
  <c r="AH48" i="14"/>
  <c r="AH47" i="14"/>
  <c r="AH46" i="14"/>
  <c r="AH45" i="14"/>
  <c r="AH44" i="14"/>
  <c r="U63" i="55" l="1"/>
  <c r="U64" i="55"/>
  <c r="U65" i="55"/>
  <c r="U66" i="55"/>
  <c r="J57" i="55" s="1"/>
  <c r="U67" i="55"/>
  <c r="U62" i="55"/>
  <c r="R63" i="55"/>
  <c r="T63" i="55" s="1"/>
  <c r="L54" i="55" s="1"/>
  <c r="O54" i="55" s="1"/>
  <c r="K7" i="55" s="1"/>
  <c r="R64" i="55"/>
  <c r="T64" i="55" s="1"/>
  <c r="L55" i="55" s="1"/>
  <c r="O55" i="55" s="1"/>
  <c r="K8" i="55" s="1"/>
  <c r="R65" i="55"/>
  <c r="T65" i="55" s="1"/>
  <c r="L56" i="55" s="1"/>
  <c r="O56" i="55" s="1"/>
  <c r="K9" i="55" s="1"/>
  <c r="R66" i="55"/>
  <c r="T66" i="55" s="1"/>
  <c r="R67" i="55"/>
  <c r="T67" i="55" s="1"/>
  <c r="L58" i="55" s="1"/>
  <c r="O58" i="55" s="1"/>
  <c r="K11" i="55" s="1"/>
  <c r="R62" i="55"/>
  <c r="T62" i="55" s="1"/>
  <c r="L53" i="55" s="1"/>
  <c r="O53" i="55" s="1"/>
  <c r="K6" i="55" s="1"/>
  <c r="J58" i="55"/>
  <c r="L57" i="55"/>
  <c r="O57" i="55" s="1"/>
  <c r="K10" i="55" s="1"/>
  <c r="J53" i="55" l="1"/>
  <c r="J56" i="55"/>
  <c r="J55" i="55"/>
  <c r="J54" i="55"/>
  <c r="AJ7" i="14"/>
  <c r="G8" i="14"/>
  <c r="AJ6" i="14" l="1"/>
  <c r="F8" i="14" l="1"/>
  <c r="K8" i="14" s="1"/>
  <c r="E8" i="14"/>
  <c r="AG5" i="14"/>
  <c r="AJ5" i="14" l="1"/>
  <c r="AF5" i="14"/>
  <c r="AK8" i="14" l="1"/>
  <c r="AO8" i="14"/>
  <c r="AF8" i="14"/>
  <c r="I8" i="14"/>
  <c r="G178" i="55" l="1"/>
  <c r="E11" i="55" s="1"/>
  <c r="Y11" i="14" s="1"/>
  <c r="G11" i="14" s="1"/>
  <c r="F175" i="55"/>
  <c r="F174" i="55"/>
  <c r="F172" i="55"/>
  <c r="F178" i="55" s="1"/>
  <c r="G161" i="55"/>
  <c r="E10" i="55" s="1"/>
  <c r="Y10" i="14" s="1"/>
  <c r="G10" i="14" s="1"/>
  <c r="F161" i="55"/>
  <c r="F160" i="55"/>
  <c r="F159" i="55"/>
  <c r="F158" i="55"/>
  <c r="G144" i="55"/>
  <c r="E9" i="55" s="1"/>
  <c r="Y9" i="14" s="1"/>
  <c r="G9" i="14" s="1"/>
  <c r="F144" i="55"/>
  <c r="F143" i="55"/>
  <c r="F142" i="55"/>
  <c r="F141" i="55"/>
  <c r="G127" i="55"/>
  <c r="E8" i="55" s="1"/>
  <c r="Y7" i="14" s="1"/>
  <c r="G7" i="14" s="1"/>
  <c r="F124" i="55"/>
  <c r="F123" i="55"/>
  <c r="F121" i="55"/>
  <c r="F127" i="55" s="1"/>
  <c r="G110" i="55"/>
  <c r="E7" i="55" s="1"/>
  <c r="Y6" i="14" s="1"/>
  <c r="G6" i="14" s="1"/>
  <c r="F107" i="55"/>
  <c r="F106" i="55"/>
  <c r="F104" i="55"/>
  <c r="F110" i="55" s="1"/>
  <c r="G93" i="55"/>
  <c r="E6" i="55" s="1"/>
  <c r="Y5" i="14" s="1"/>
  <c r="G5" i="14" s="1"/>
  <c r="F90" i="55"/>
  <c r="F89" i="55"/>
  <c r="F87" i="55"/>
  <c r="F93" i="55" s="1"/>
  <c r="O77" i="55"/>
  <c r="O76" i="55"/>
  <c r="O75" i="55"/>
  <c r="O74" i="55"/>
  <c r="O73" i="55"/>
  <c r="O72" i="55"/>
  <c r="P67" i="55"/>
  <c r="M67" i="55"/>
  <c r="K67" i="55"/>
  <c r="I67" i="55"/>
  <c r="G67" i="55"/>
  <c r="E67" i="55"/>
  <c r="C67" i="55"/>
  <c r="P66" i="55"/>
  <c r="M66" i="55"/>
  <c r="K66" i="55"/>
  <c r="I66" i="55"/>
  <c r="G66" i="55"/>
  <c r="E66" i="55"/>
  <c r="C66" i="55"/>
  <c r="P65" i="55"/>
  <c r="M65" i="55"/>
  <c r="K65" i="55"/>
  <c r="I65" i="55"/>
  <c r="G65" i="55"/>
  <c r="E65" i="55"/>
  <c r="C65" i="55"/>
  <c r="P64" i="55"/>
  <c r="M64" i="55"/>
  <c r="K64" i="55"/>
  <c r="I64" i="55"/>
  <c r="G64" i="55"/>
  <c r="E64" i="55"/>
  <c r="C64" i="55"/>
  <c r="P63" i="55"/>
  <c r="M63" i="55"/>
  <c r="K63" i="55"/>
  <c r="I63" i="55"/>
  <c r="G63" i="55"/>
  <c r="E63" i="55"/>
  <c r="C63" i="55"/>
  <c r="P62" i="55"/>
  <c r="M62" i="55"/>
  <c r="K62" i="55"/>
  <c r="I62" i="55"/>
  <c r="G62" i="55"/>
  <c r="E62" i="55"/>
  <c r="C62" i="55"/>
  <c r="F162" i="55" l="1"/>
  <c r="O63" i="55"/>
  <c r="H41" i="55" s="1"/>
  <c r="O67" i="55"/>
  <c r="H174" i="55" s="1"/>
  <c r="O62" i="55"/>
  <c r="H40" i="55" s="1"/>
  <c r="O66" i="55"/>
  <c r="H157" i="55" s="1"/>
  <c r="O64" i="55"/>
  <c r="H123" i="55" s="1"/>
  <c r="Q66" i="55"/>
  <c r="V66" i="55" s="1"/>
  <c r="F145" i="55"/>
  <c r="O65" i="55"/>
  <c r="H140" i="55" s="1"/>
  <c r="Q67" i="55"/>
  <c r="S67" i="55" s="1"/>
  <c r="K58" i="55" s="1"/>
  <c r="Q62" i="55"/>
  <c r="V62" i="55" s="1"/>
  <c r="Q63" i="55"/>
  <c r="S63" i="55" s="1"/>
  <c r="Q64" i="55"/>
  <c r="S64" i="55" s="1"/>
  <c r="Q65" i="55"/>
  <c r="V65" i="55" s="1"/>
  <c r="H87" i="55"/>
  <c r="I40" i="55"/>
  <c r="H104" i="55"/>
  <c r="I41" i="55"/>
  <c r="H121" i="55"/>
  <c r="I42" i="55"/>
  <c r="H138" i="55"/>
  <c r="I43" i="55"/>
  <c r="H155" i="55"/>
  <c r="I44" i="55"/>
  <c r="H172" i="55"/>
  <c r="I45" i="55"/>
  <c r="H88" i="55"/>
  <c r="G40" i="55"/>
  <c r="H105" i="55"/>
  <c r="G41" i="55"/>
  <c r="H122" i="55"/>
  <c r="G42" i="55"/>
  <c r="H139" i="55"/>
  <c r="G43" i="55"/>
  <c r="H156" i="55"/>
  <c r="G44" i="55"/>
  <c r="H173" i="55"/>
  <c r="G45" i="55"/>
  <c r="G92" i="55"/>
  <c r="G91" i="55"/>
  <c r="G90" i="55"/>
  <c r="F92" i="55"/>
  <c r="F94" i="55" s="1"/>
  <c r="F91" i="55"/>
  <c r="G109" i="55"/>
  <c r="G107" i="55"/>
  <c r="G108" i="55" s="1"/>
  <c r="F109" i="55"/>
  <c r="F111" i="55" s="1"/>
  <c r="F108" i="55"/>
  <c r="G126" i="55"/>
  <c r="G124" i="55"/>
  <c r="G125" i="55" s="1"/>
  <c r="F126" i="55"/>
  <c r="F125" i="55"/>
  <c r="G143" i="55"/>
  <c r="G141" i="55"/>
  <c r="G142" i="55" s="1"/>
  <c r="G160" i="55"/>
  <c r="G158" i="55"/>
  <c r="G159" i="55" s="1"/>
  <c r="G177" i="55"/>
  <c r="G175" i="55"/>
  <c r="G176" i="55" s="1"/>
  <c r="F177" i="55"/>
  <c r="F179" i="55" s="1"/>
  <c r="F176" i="55"/>
  <c r="H106" i="55" l="1"/>
  <c r="H89" i="55"/>
  <c r="I89" i="55" s="1"/>
  <c r="V63" i="55"/>
  <c r="H45" i="55"/>
  <c r="H34" i="55" s="1"/>
  <c r="S66" i="55"/>
  <c r="K57" i="55" s="1"/>
  <c r="M57" i="55" s="1"/>
  <c r="P57" i="55" s="1"/>
  <c r="L10" i="55" s="1"/>
  <c r="S62" i="55"/>
  <c r="V67" i="55"/>
  <c r="S65" i="55"/>
  <c r="H44" i="55"/>
  <c r="H43" i="55"/>
  <c r="H32" i="55" s="1"/>
  <c r="H42" i="55"/>
  <c r="H31" i="55" s="1"/>
  <c r="V64" i="55"/>
  <c r="K56" i="55"/>
  <c r="M56" i="55" s="1"/>
  <c r="P56" i="55" s="1"/>
  <c r="L9" i="55" s="1"/>
  <c r="K55" i="55"/>
  <c r="N55" i="55" s="1"/>
  <c r="J8" i="55" s="1"/>
  <c r="K54" i="55"/>
  <c r="M54" i="55" s="1"/>
  <c r="P54" i="55" s="1"/>
  <c r="L7" i="55" s="1"/>
  <c r="K53" i="55"/>
  <c r="N58" i="55"/>
  <c r="J11" i="55" s="1"/>
  <c r="M58" i="55"/>
  <c r="P58" i="55" s="1"/>
  <c r="L11" i="55" s="1"/>
  <c r="G179" i="55"/>
  <c r="F11" i="55" s="1"/>
  <c r="Z11" i="14" s="1"/>
  <c r="D11" i="55"/>
  <c r="X11" i="14" s="1"/>
  <c r="G162" i="55"/>
  <c r="F10" i="55" s="1"/>
  <c r="Z10" i="14" s="1"/>
  <c r="D10" i="55"/>
  <c r="X10" i="14" s="1"/>
  <c r="G145" i="55"/>
  <c r="F9" i="55" s="1"/>
  <c r="Z9" i="14" s="1"/>
  <c r="D9" i="55"/>
  <c r="X9" i="14" s="1"/>
  <c r="G128" i="55"/>
  <c r="D8" i="55"/>
  <c r="X7" i="14" s="1"/>
  <c r="G111" i="55"/>
  <c r="F7" i="55" s="1"/>
  <c r="Z6" i="14" s="1"/>
  <c r="D7" i="55"/>
  <c r="X6" i="14" s="1"/>
  <c r="G94" i="55"/>
  <c r="F6" i="55" s="1"/>
  <c r="Z5" i="14" s="1"/>
  <c r="D6" i="55"/>
  <c r="X5" i="14" s="1"/>
  <c r="F129" i="55"/>
  <c r="F128" i="55"/>
  <c r="G34" i="55"/>
  <c r="J34" i="55" s="1"/>
  <c r="J45" i="55"/>
  <c r="H175" i="55"/>
  <c r="H176" i="55" s="1"/>
  <c r="I173" i="55"/>
  <c r="I175" i="55" s="1"/>
  <c r="G33" i="55"/>
  <c r="J33" i="55" s="1"/>
  <c r="J44" i="55"/>
  <c r="H158" i="55"/>
  <c r="H159" i="55" s="1"/>
  <c r="I156" i="55"/>
  <c r="I158" i="55" s="1"/>
  <c r="G32" i="55"/>
  <c r="J32" i="55" s="1"/>
  <c r="J43" i="55"/>
  <c r="H141" i="55"/>
  <c r="H142" i="55" s="1"/>
  <c r="I139" i="55"/>
  <c r="I141" i="55" s="1"/>
  <c r="G31" i="55"/>
  <c r="J31" i="55" s="1"/>
  <c r="J42" i="55"/>
  <c r="H124" i="55"/>
  <c r="H125" i="55" s="1"/>
  <c r="I122" i="55"/>
  <c r="I124" i="55" s="1"/>
  <c r="G30" i="55"/>
  <c r="J30" i="55" s="1"/>
  <c r="J41" i="55"/>
  <c r="K41" i="55" s="1"/>
  <c r="H107" i="55"/>
  <c r="I105" i="55"/>
  <c r="I107" i="55" s="1"/>
  <c r="G29" i="55"/>
  <c r="J29" i="55" s="1"/>
  <c r="J40" i="55"/>
  <c r="K40" i="55" s="1"/>
  <c r="H90" i="55"/>
  <c r="J88" i="55"/>
  <c r="J90" i="55" s="1"/>
  <c r="I88" i="55"/>
  <c r="I90" i="55" s="1"/>
  <c r="I34" i="55"/>
  <c r="L34" i="55" s="1"/>
  <c r="O34" i="55" s="1"/>
  <c r="H11" i="55" s="1"/>
  <c r="Y30" i="14" s="1"/>
  <c r="L45" i="55"/>
  <c r="H178" i="55"/>
  <c r="I172" i="55"/>
  <c r="I178" i="55" s="1"/>
  <c r="H177" i="55"/>
  <c r="I174" i="55"/>
  <c r="I33" i="55"/>
  <c r="L33" i="55" s="1"/>
  <c r="O33" i="55" s="1"/>
  <c r="H10" i="55" s="1"/>
  <c r="Y29" i="14" s="1"/>
  <c r="L44" i="55"/>
  <c r="H161" i="55"/>
  <c r="I155" i="55"/>
  <c r="I161" i="55" s="1"/>
  <c r="H33" i="55"/>
  <c r="H160" i="55"/>
  <c r="I157" i="55"/>
  <c r="I32" i="55"/>
  <c r="L32" i="55" s="1"/>
  <c r="O32" i="55" s="1"/>
  <c r="H9" i="55" s="1"/>
  <c r="Y28" i="14" s="1"/>
  <c r="L43" i="55"/>
  <c r="H144" i="55"/>
  <c r="I138" i="55"/>
  <c r="I144" i="55" s="1"/>
  <c r="H143" i="55"/>
  <c r="I140" i="55"/>
  <c r="I31" i="55"/>
  <c r="L31" i="55" s="1"/>
  <c r="O31" i="55" s="1"/>
  <c r="H8" i="55" s="1"/>
  <c r="Y27" i="14" s="1"/>
  <c r="L42" i="55"/>
  <c r="H127" i="55"/>
  <c r="I121" i="55"/>
  <c r="I127" i="55" s="1"/>
  <c r="H126" i="55"/>
  <c r="I123" i="55"/>
  <c r="I30" i="55"/>
  <c r="L30" i="55" s="1"/>
  <c r="O30" i="55" s="1"/>
  <c r="H7" i="55" s="1"/>
  <c r="Y26" i="14" s="1"/>
  <c r="L41" i="55"/>
  <c r="H110" i="55"/>
  <c r="I104" i="55"/>
  <c r="I110" i="55" s="1"/>
  <c r="H30" i="55"/>
  <c r="H109" i="55"/>
  <c r="I106" i="55"/>
  <c r="I29" i="55"/>
  <c r="L29" i="55" s="1"/>
  <c r="O29" i="55" s="1"/>
  <c r="H6" i="55" s="1"/>
  <c r="Y25" i="14" s="1"/>
  <c r="L40" i="55"/>
  <c r="H93" i="55"/>
  <c r="I87" i="55"/>
  <c r="H29" i="55"/>
  <c r="F9" i="14" l="1"/>
  <c r="K9" i="14" s="1"/>
  <c r="E9" i="14"/>
  <c r="AK9" i="14"/>
  <c r="AO9" i="14"/>
  <c r="F10" i="14"/>
  <c r="K10" i="14" s="1"/>
  <c r="E10" i="14"/>
  <c r="AO10" i="14"/>
  <c r="AK10" i="14"/>
  <c r="F11" i="14"/>
  <c r="K11" i="14" s="1"/>
  <c r="E11" i="14"/>
  <c r="AK11" i="14"/>
  <c r="AO11" i="14"/>
  <c r="F7" i="14"/>
  <c r="K7" i="14" s="1"/>
  <c r="E7" i="14"/>
  <c r="F6" i="14"/>
  <c r="K6" i="14" s="1"/>
  <c r="E6" i="14"/>
  <c r="AO6" i="14"/>
  <c r="AK6" i="14"/>
  <c r="AK5" i="14"/>
  <c r="AO5" i="14"/>
  <c r="H92" i="55"/>
  <c r="K45" i="55"/>
  <c r="M45" i="55" s="1"/>
  <c r="N54" i="55"/>
  <c r="J7" i="55" s="1"/>
  <c r="H108" i="55"/>
  <c r="M53" i="55"/>
  <c r="P53" i="55" s="1"/>
  <c r="L6" i="55" s="1"/>
  <c r="N53" i="55"/>
  <c r="J6" i="55" s="1"/>
  <c r="H91" i="55"/>
  <c r="N56" i="55"/>
  <c r="J9" i="55" s="1"/>
  <c r="N57" i="55"/>
  <c r="J10" i="55" s="1"/>
  <c r="K44" i="55"/>
  <c r="M44" i="55" s="1"/>
  <c r="K42" i="55"/>
  <c r="M42" i="55" s="1"/>
  <c r="K43" i="55"/>
  <c r="M43" i="55" s="1"/>
  <c r="M55" i="55"/>
  <c r="P55" i="55" s="1"/>
  <c r="L8" i="55" s="1"/>
  <c r="H94" i="55"/>
  <c r="H111" i="55"/>
  <c r="H128" i="55"/>
  <c r="H162" i="55"/>
  <c r="H179" i="55"/>
  <c r="F8" i="55"/>
  <c r="Z7" i="14" s="1"/>
  <c r="I92" i="55"/>
  <c r="I91" i="55"/>
  <c r="J89" i="55"/>
  <c r="I93" i="55"/>
  <c r="J87" i="55"/>
  <c r="J93" i="55" s="1"/>
  <c r="I109" i="55"/>
  <c r="I108" i="55"/>
  <c r="I126" i="55"/>
  <c r="I125" i="55"/>
  <c r="I143" i="55"/>
  <c r="I142" i="55"/>
  <c r="H145" i="55"/>
  <c r="I160" i="55"/>
  <c r="I159" i="55"/>
  <c r="I177" i="55"/>
  <c r="I176" i="55"/>
  <c r="M40" i="55"/>
  <c r="K29" i="55"/>
  <c r="M41" i="55"/>
  <c r="K30" i="55"/>
  <c r="K31" i="55"/>
  <c r="K32" i="55"/>
  <c r="K33" i="55"/>
  <c r="K34" i="55"/>
  <c r="AK7" i="14" l="1"/>
  <c r="AO7" i="14"/>
  <c r="AO12" i="14"/>
  <c r="I179" i="55"/>
  <c r="I162" i="55"/>
  <c r="I145" i="55"/>
  <c r="I128" i="55"/>
  <c r="I111" i="55"/>
  <c r="N34" i="55"/>
  <c r="G11" i="55" s="1"/>
  <c r="X30" i="14" s="1"/>
  <c r="M34" i="55"/>
  <c r="P34" i="55" s="1"/>
  <c r="I11" i="55" s="1"/>
  <c r="Z30" i="14" s="1"/>
  <c r="AH30" i="14" s="1"/>
  <c r="N33" i="55"/>
  <c r="G10" i="55" s="1"/>
  <c r="X29" i="14" s="1"/>
  <c r="M33" i="55"/>
  <c r="P33" i="55" s="1"/>
  <c r="I10" i="55" s="1"/>
  <c r="Z29" i="14" s="1"/>
  <c r="AH29" i="14" s="1"/>
  <c r="N32" i="55"/>
  <c r="G9" i="55" s="1"/>
  <c r="X28" i="14" s="1"/>
  <c r="M32" i="55"/>
  <c r="P32" i="55" s="1"/>
  <c r="I9" i="55" s="1"/>
  <c r="Z28" i="14" s="1"/>
  <c r="AH28" i="14" s="1"/>
  <c r="N31" i="55"/>
  <c r="G8" i="55" s="1"/>
  <c r="X27" i="14" s="1"/>
  <c r="M31" i="55"/>
  <c r="P31" i="55" s="1"/>
  <c r="I8" i="55" s="1"/>
  <c r="Z27" i="14" s="1"/>
  <c r="AH27" i="14" s="1"/>
  <c r="N30" i="55"/>
  <c r="G7" i="55" s="1"/>
  <c r="X26" i="14" s="1"/>
  <c r="M30" i="55"/>
  <c r="P30" i="55" s="1"/>
  <c r="I7" i="55" s="1"/>
  <c r="Z26" i="14" s="1"/>
  <c r="AH26" i="14" s="1"/>
  <c r="N29" i="55"/>
  <c r="G6" i="55" s="1"/>
  <c r="X25" i="14" s="1"/>
  <c r="M29" i="55"/>
  <c r="P29" i="55" s="1"/>
  <c r="I6" i="55" s="1"/>
  <c r="Z25" i="14" s="1"/>
  <c r="AH25" i="14" s="1"/>
  <c r="J92" i="55"/>
  <c r="J94" i="55" s="1"/>
  <c r="J91" i="55"/>
  <c r="I94" i="55"/>
  <c r="BC13" i="56" l="1"/>
  <c r="I44" i="56"/>
  <c r="J60" i="2"/>
  <c r="AG7" i="14" l="1"/>
  <c r="AG9" i="14"/>
  <c r="AG10" i="14"/>
  <c r="AG11" i="14"/>
  <c r="AG6" i="14"/>
  <c r="M2" i="14" l="1"/>
  <c r="B15" i="26"/>
  <c r="AI15" i="56" s="1"/>
  <c r="AI19" i="56" s="1"/>
  <c r="AX11" i="56" s="1"/>
  <c r="K7" i="30"/>
  <c r="G7" i="30"/>
  <c r="G8" i="30"/>
  <c r="G9" i="30"/>
  <c r="C8" i="47" s="1"/>
  <c r="G10" i="30"/>
  <c r="G11" i="30"/>
  <c r="G12" i="30"/>
  <c r="G13" i="30"/>
  <c r="G14" i="30"/>
  <c r="G15" i="30"/>
  <c r="G16" i="30"/>
  <c r="G17" i="30"/>
  <c r="G18" i="30"/>
  <c r="G19" i="30"/>
  <c r="G20" i="30"/>
  <c r="G6" i="30"/>
  <c r="E21" i="30"/>
  <c r="BC11" i="56" l="1"/>
  <c r="AY11" i="56"/>
  <c r="BD11" i="56" s="1"/>
  <c r="AX14" i="56"/>
  <c r="BC14" i="56" s="1"/>
  <c r="I16" i="26"/>
  <c r="I17" i="26" s="1"/>
  <c r="H16" i="26"/>
  <c r="H17" i="26" s="1"/>
  <c r="G16" i="26"/>
  <c r="G17" i="26" l="1"/>
  <c r="G19" i="26" s="1"/>
  <c r="AX52" i="56" l="1"/>
  <c r="E12" i="58" s="1"/>
  <c r="F12" i="58" s="1"/>
  <c r="AX51" i="56"/>
  <c r="E11" i="58" s="1"/>
  <c r="AY14" i="56"/>
  <c r="AX31" i="56"/>
  <c r="AY31" i="56" s="1"/>
  <c r="AI45" i="56"/>
  <c r="AI46" i="56"/>
  <c r="AI47" i="56"/>
  <c r="AI48" i="56"/>
  <c r="AI49" i="56"/>
  <c r="AI50" i="56"/>
  <c r="AI51" i="56"/>
  <c r="AI52" i="56"/>
  <c r="AI53" i="56"/>
  <c r="AI54" i="56"/>
  <c r="AI55" i="56"/>
  <c r="AI56" i="56"/>
  <c r="AI57" i="56"/>
  <c r="AI44" i="56"/>
  <c r="AH51" i="56"/>
  <c r="AH52" i="56"/>
  <c r="AJ52" i="56" s="1"/>
  <c r="AH53" i="56"/>
  <c r="AJ53" i="56" s="1"/>
  <c r="AH54" i="56"/>
  <c r="AJ54" i="56" s="1"/>
  <c r="AH55" i="56"/>
  <c r="AH56" i="56"/>
  <c r="AJ56" i="56" s="1"/>
  <c r="AH57" i="56"/>
  <c r="AH50" i="56"/>
  <c r="AJ50" i="56" s="1"/>
  <c r="AH45" i="56"/>
  <c r="AH46" i="56"/>
  <c r="AH47" i="56"/>
  <c r="AJ47" i="56" s="1"/>
  <c r="AH48" i="56"/>
  <c r="AH49" i="56"/>
  <c r="AH44" i="56"/>
  <c r="AN51" i="56"/>
  <c r="AN52" i="56"/>
  <c r="AN53" i="56"/>
  <c r="AN54" i="56"/>
  <c r="AN55" i="56"/>
  <c r="AN56" i="56"/>
  <c r="AN57" i="56"/>
  <c r="AN50" i="56"/>
  <c r="AB51" i="56"/>
  <c r="AB52" i="56"/>
  <c r="AB53" i="56"/>
  <c r="AB54" i="56"/>
  <c r="AB55" i="56"/>
  <c r="AB56" i="56"/>
  <c r="AB57" i="56"/>
  <c r="AB50" i="56"/>
  <c r="C51" i="56"/>
  <c r="C52" i="56"/>
  <c r="C53" i="56"/>
  <c r="C54" i="56"/>
  <c r="C55" i="56"/>
  <c r="C56" i="56"/>
  <c r="C57" i="56"/>
  <c r="C50" i="56"/>
  <c r="U51" i="56"/>
  <c r="U52" i="56"/>
  <c r="U53" i="56"/>
  <c r="U54" i="56"/>
  <c r="U55" i="56"/>
  <c r="U56" i="56"/>
  <c r="U57" i="56"/>
  <c r="U50" i="56"/>
  <c r="O51" i="56"/>
  <c r="O52" i="56"/>
  <c r="O53" i="56"/>
  <c r="O54" i="56"/>
  <c r="O55" i="56"/>
  <c r="O56" i="56"/>
  <c r="O57" i="56"/>
  <c r="O50" i="56"/>
  <c r="I51" i="56"/>
  <c r="I52" i="56"/>
  <c r="I53" i="56"/>
  <c r="I54" i="56"/>
  <c r="I55" i="56"/>
  <c r="I56" i="56"/>
  <c r="I57" i="56"/>
  <c r="I50" i="56"/>
  <c r="AN46" i="56"/>
  <c r="AN47" i="56"/>
  <c r="AN48" i="56"/>
  <c r="AN49" i="56"/>
  <c r="AJ48" i="56"/>
  <c r="AJ51" i="56"/>
  <c r="AJ55" i="56"/>
  <c r="BD14" i="56" l="1"/>
  <c r="D17" i="58"/>
  <c r="F11" i="58"/>
  <c r="I11" i="58" s="1"/>
  <c r="H11" i="58"/>
  <c r="AJ57" i="56"/>
  <c r="AJ44" i="56"/>
  <c r="AY51" i="56"/>
  <c r="BE13" i="56"/>
  <c r="AY52" i="56"/>
  <c r="BE14" i="56"/>
  <c r="AJ45" i="56"/>
  <c r="AJ49" i="56"/>
  <c r="AI58" i="56"/>
  <c r="AX49" i="56" s="1"/>
  <c r="AJ46" i="56"/>
  <c r="BE11" i="56" l="1"/>
  <c r="E9" i="58"/>
  <c r="AJ58" i="56"/>
  <c r="AN44" i="56"/>
  <c r="AN58" i="56" s="1"/>
  <c r="AB45" i="56"/>
  <c r="AB46" i="56"/>
  <c r="AB47" i="56"/>
  <c r="AB48" i="56"/>
  <c r="AB49" i="56"/>
  <c r="AB44" i="56"/>
  <c r="C45" i="56"/>
  <c r="C46" i="56"/>
  <c r="C47" i="56"/>
  <c r="C48" i="56"/>
  <c r="C49" i="56"/>
  <c r="C44" i="56"/>
  <c r="U45" i="56"/>
  <c r="U46" i="56"/>
  <c r="U47" i="56"/>
  <c r="U48" i="56"/>
  <c r="U49" i="56"/>
  <c r="U44" i="56"/>
  <c r="O45" i="56"/>
  <c r="O46" i="56"/>
  <c r="O47" i="56"/>
  <c r="O48" i="56"/>
  <c r="O49" i="56"/>
  <c r="O44" i="56"/>
  <c r="O58" i="56" s="1"/>
  <c r="AW46" i="56" s="1"/>
  <c r="D6" i="58" s="1"/>
  <c r="I45" i="56"/>
  <c r="I46" i="56"/>
  <c r="I47" i="56"/>
  <c r="I48" i="56"/>
  <c r="I49" i="56"/>
  <c r="AJ25" i="56"/>
  <c r="AJ26" i="56"/>
  <c r="AJ27" i="56"/>
  <c r="AJ28" i="56"/>
  <c r="AJ29" i="56"/>
  <c r="AJ30" i="56"/>
  <c r="AJ31" i="56"/>
  <c r="AJ32" i="56"/>
  <c r="AJ33" i="56"/>
  <c r="AJ34" i="56"/>
  <c r="AJ35" i="56"/>
  <c r="AJ36" i="56"/>
  <c r="AJ37" i="56"/>
  <c r="AJ38" i="56"/>
  <c r="AJ24" i="56"/>
  <c r="AI39" i="56"/>
  <c r="AJ5" i="56"/>
  <c r="AJ6" i="56"/>
  <c r="AJ7" i="56"/>
  <c r="AJ8" i="56"/>
  <c r="AJ9" i="56"/>
  <c r="AJ10" i="56"/>
  <c r="AJ11" i="56"/>
  <c r="AJ12" i="56"/>
  <c r="AJ13" i="56"/>
  <c r="AJ14" i="56"/>
  <c r="AJ15" i="56"/>
  <c r="AJ16" i="56"/>
  <c r="AJ17" i="56"/>
  <c r="AJ18" i="56"/>
  <c r="AJ4" i="56"/>
  <c r="D7" i="56"/>
  <c r="AH58" i="56"/>
  <c r="AW49" i="56" s="1"/>
  <c r="AH39" i="56"/>
  <c r="AW29" i="56" s="1"/>
  <c r="AB38" i="56"/>
  <c r="C38" i="56"/>
  <c r="U38" i="56"/>
  <c r="O38" i="56"/>
  <c r="I38" i="56"/>
  <c r="AB37" i="56"/>
  <c r="C37" i="56"/>
  <c r="U37" i="56"/>
  <c r="O37" i="56"/>
  <c r="I37" i="56"/>
  <c r="AB36" i="56"/>
  <c r="C36" i="56"/>
  <c r="U36" i="56"/>
  <c r="O36" i="56"/>
  <c r="I36" i="56"/>
  <c r="AB35" i="56"/>
  <c r="C35" i="56"/>
  <c r="U35" i="56"/>
  <c r="O35" i="56"/>
  <c r="I35" i="56"/>
  <c r="AB34" i="56"/>
  <c r="C34" i="56"/>
  <c r="U34" i="56"/>
  <c r="O34" i="56"/>
  <c r="I34" i="56"/>
  <c r="AB33" i="56"/>
  <c r="C33" i="56"/>
  <c r="U33" i="56"/>
  <c r="O33" i="56"/>
  <c r="I33" i="56"/>
  <c r="AB32" i="56"/>
  <c r="C32" i="56"/>
  <c r="U32" i="56"/>
  <c r="O32" i="56"/>
  <c r="I32" i="56"/>
  <c r="AB31" i="56"/>
  <c r="C31" i="56"/>
  <c r="U31" i="56"/>
  <c r="O31" i="56"/>
  <c r="I31" i="56"/>
  <c r="AB30" i="56"/>
  <c r="C30" i="56"/>
  <c r="U30" i="56"/>
  <c r="O30" i="56"/>
  <c r="I30" i="56"/>
  <c r="AB29" i="56"/>
  <c r="C29" i="56"/>
  <c r="U29" i="56"/>
  <c r="O29" i="56"/>
  <c r="I29" i="56"/>
  <c r="AB28" i="56"/>
  <c r="C28" i="56"/>
  <c r="U28" i="56"/>
  <c r="O28" i="56"/>
  <c r="I28" i="56"/>
  <c r="I27" i="56"/>
  <c r="AB26" i="56"/>
  <c r="C26" i="56"/>
  <c r="U26" i="56"/>
  <c r="O26" i="56"/>
  <c r="I26" i="56"/>
  <c r="AB25" i="56"/>
  <c r="C25" i="56"/>
  <c r="U25" i="56"/>
  <c r="O25" i="56"/>
  <c r="I25" i="56"/>
  <c r="AN39" i="56"/>
  <c r="AB24" i="56"/>
  <c r="C24" i="56"/>
  <c r="U24" i="56"/>
  <c r="O24" i="56"/>
  <c r="I24" i="56"/>
  <c r="AH19" i="56"/>
  <c r="AJ19" i="56" s="1"/>
  <c r="AB18" i="56"/>
  <c r="C18" i="56"/>
  <c r="U18" i="56"/>
  <c r="O18" i="56"/>
  <c r="I18" i="56"/>
  <c r="AB17" i="56"/>
  <c r="C17" i="56"/>
  <c r="U17" i="56"/>
  <c r="O17" i="56"/>
  <c r="I17" i="56"/>
  <c r="AB16" i="56"/>
  <c r="C16" i="56"/>
  <c r="U16" i="56"/>
  <c r="O16" i="56"/>
  <c r="I16" i="56"/>
  <c r="AB15" i="56"/>
  <c r="C15" i="56"/>
  <c r="U15" i="56"/>
  <c r="O15" i="56"/>
  <c r="I15" i="56"/>
  <c r="AB14" i="56"/>
  <c r="C14" i="56"/>
  <c r="U14" i="56"/>
  <c r="O14" i="56"/>
  <c r="I14" i="56"/>
  <c r="AB13" i="56"/>
  <c r="C13" i="56"/>
  <c r="U13" i="56"/>
  <c r="O13" i="56"/>
  <c r="I13" i="56"/>
  <c r="AB12" i="56"/>
  <c r="C12" i="56"/>
  <c r="U12" i="56"/>
  <c r="O12" i="56"/>
  <c r="I12" i="56"/>
  <c r="AB11" i="56"/>
  <c r="C11" i="56"/>
  <c r="U11" i="56"/>
  <c r="O11" i="56"/>
  <c r="I11" i="56"/>
  <c r="AB10" i="56"/>
  <c r="C10" i="56"/>
  <c r="U10" i="56"/>
  <c r="O10" i="56"/>
  <c r="I10" i="56"/>
  <c r="AB9" i="56"/>
  <c r="C9" i="56"/>
  <c r="U9" i="56"/>
  <c r="O9" i="56"/>
  <c r="I9" i="56"/>
  <c r="AB8" i="56"/>
  <c r="C8" i="56"/>
  <c r="U8" i="56"/>
  <c r="I8" i="56"/>
  <c r="AB7" i="56"/>
  <c r="C7" i="56"/>
  <c r="U7" i="56"/>
  <c r="O7" i="56"/>
  <c r="I7" i="56"/>
  <c r="AB6" i="56"/>
  <c r="C6" i="56"/>
  <c r="U6" i="56"/>
  <c r="O6" i="56"/>
  <c r="I6" i="56"/>
  <c r="AB5" i="56"/>
  <c r="C5" i="56"/>
  <c r="U5" i="56"/>
  <c r="O5" i="56"/>
  <c r="I5" i="56"/>
  <c r="AB4" i="56"/>
  <c r="C4" i="56"/>
  <c r="U4" i="56"/>
  <c r="O4" i="56"/>
  <c r="I4" i="56"/>
  <c r="AY49" i="56" l="1"/>
  <c r="D9" i="58"/>
  <c r="F9" i="58" s="1"/>
  <c r="AK4" i="56"/>
  <c r="AK5" i="56"/>
  <c r="AK6" i="56"/>
  <c r="AK7" i="56"/>
  <c r="AK8" i="56"/>
  <c r="AK9" i="56"/>
  <c r="AK10" i="56"/>
  <c r="AK11" i="56"/>
  <c r="AK12" i="56"/>
  <c r="AK13" i="56"/>
  <c r="AK14" i="56"/>
  <c r="AK15" i="56"/>
  <c r="AK16" i="56"/>
  <c r="AK17" i="56"/>
  <c r="AK18" i="56"/>
  <c r="AX29" i="56"/>
  <c r="AY29" i="56" s="1"/>
  <c r="AJ39" i="56"/>
  <c r="U39" i="56"/>
  <c r="AW26" i="56" s="1"/>
  <c r="AB39" i="56"/>
  <c r="AW28" i="56" s="1"/>
  <c r="C58" i="56"/>
  <c r="AW44" i="56" s="1"/>
  <c r="D4" i="58" s="1"/>
  <c r="O19" i="56"/>
  <c r="AW7" i="56" s="1"/>
  <c r="C19" i="56"/>
  <c r="AW9" i="56" s="1"/>
  <c r="K27" i="56"/>
  <c r="I19" i="56"/>
  <c r="AW6" i="56" s="1"/>
  <c r="AN19" i="56"/>
  <c r="C39" i="56"/>
  <c r="AW27" i="56" s="1"/>
  <c r="I58" i="56"/>
  <c r="AW45" i="56" s="1"/>
  <c r="D5" i="58" s="1"/>
  <c r="U19" i="56"/>
  <c r="AW8" i="56" s="1"/>
  <c r="AB19" i="56"/>
  <c r="AW10" i="56" s="1"/>
  <c r="E7" i="56"/>
  <c r="I39" i="56"/>
  <c r="AW24" i="56" s="1"/>
  <c r="U58" i="56"/>
  <c r="AW47" i="56" s="1"/>
  <c r="D7" i="58" s="1"/>
  <c r="AB58" i="56"/>
  <c r="AW48" i="56" s="1"/>
  <c r="D8" i="58" s="1"/>
  <c r="O39" i="56"/>
  <c r="AW25" i="56" s="1"/>
  <c r="C18" i="57" l="1"/>
  <c r="AS20" i="56"/>
  <c r="D10" i="58"/>
  <c r="D13" i="58" s="1"/>
  <c r="AK19" i="56"/>
  <c r="AW50" i="56"/>
  <c r="AW53" i="56" s="1"/>
  <c r="AW30" i="56"/>
  <c r="AW33" i="56" s="1"/>
  <c r="AW12" i="56"/>
  <c r="AW15" i="56" s="1"/>
  <c r="H65" i="47" l="1"/>
  <c r="J75" i="47" l="1"/>
  <c r="K75" i="47"/>
  <c r="L75" i="47"/>
  <c r="M75" i="47"/>
  <c r="N75" i="47"/>
  <c r="O75" i="47"/>
  <c r="P75" i="47"/>
  <c r="Q75" i="47"/>
  <c r="R75" i="47"/>
  <c r="T75" i="47"/>
  <c r="X75" i="47"/>
  <c r="H6" i="47" l="1"/>
  <c r="H7" i="47"/>
  <c r="H8" i="47"/>
  <c r="H9" i="47"/>
  <c r="H10" i="47"/>
  <c r="H11" i="47"/>
  <c r="H12" i="47"/>
  <c r="H13" i="47"/>
  <c r="H14" i="47"/>
  <c r="H15" i="47"/>
  <c r="H16" i="47"/>
  <c r="H17" i="47"/>
  <c r="H18" i="47"/>
  <c r="H19" i="47"/>
  <c r="O9" i="30" l="1"/>
  <c r="K9" i="30"/>
  <c r="L4" i="1" l="1"/>
  <c r="L3" i="1"/>
  <c r="J9" i="1" l="1"/>
  <c r="Y2" i="50" l="1"/>
  <c r="V52" i="50" l="1"/>
  <c r="V32" i="50"/>
  <c r="V51" i="50"/>
  <c r="V50" i="50"/>
  <c r="V49" i="50"/>
  <c r="V48" i="50"/>
  <c r="V47" i="50"/>
  <c r="V46" i="50"/>
  <c r="V31" i="50"/>
  <c r="V30" i="50"/>
  <c r="V29" i="50"/>
  <c r="V28" i="50"/>
  <c r="V27" i="50"/>
  <c r="V26" i="50"/>
  <c r="V19" i="50"/>
  <c r="V18" i="50"/>
  <c r="V17" i="50"/>
  <c r="V16" i="50"/>
  <c r="V15" i="50"/>
  <c r="V14" i="50"/>
  <c r="V13" i="50"/>
  <c r="V12" i="50"/>
  <c r="V10" i="50"/>
  <c r="V11" i="50"/>
  <c r="V6" i="50"/>
  <c r="V7" i="50"/>
  <c r="V8" i="50"/>
  <c r="V9" i="50"/>
  <c r="V5" i="50"/>
  <c r="H34" i="47" l="1"/>
  <c r="H35" i="47"/>
  <c r="H36" i="47"/>
  <c r="H37" i="47"/>
  <c r="H38" i="47"/>
  <c r="H40" i="47"/>
  <c r="H41" i="47"/>
  <c r="H42" i="47"/>
  <c r="H43" i="47"/>
  <c r="H33" i="47"/>
  <c r="V6" i="14"/>
  <c r="V7" i="14"/>
  <c r="V8" i="14"/>
  <c r="V9" i="14"/>
  <c r="V10" i="14"/>
  <c r="V11" i="14"/>
  <c r="V12" i="14"/>
  <c r="V13" i="14"/>
  <c r="V14" i="14"/>
  <c r="V15" i="14"/>
  <c r="V16" i="14"/>
  <c r="V17" i="14"/>
  <c r="V18" i="14"/>
  <c r="V19" i="14"/>
  <c r="V5" i="14"/>
  <c r="O7" i="49" l="1"/>
  <c r="E7" i="49"/>
  <c r="L7" i="49" s="1"/>
  <c r="D7" i="49"/>
  <c r="Q6" i="4"/>
  <c r="F7" i="49" s="1"/>
  <c r="AG8" i="14"/>
  <c r="P8" i="14"/>
  <c r="K7" i="49" l="1"/>
  <c r="H7" i="49"/>
  <c r="AC8" i="14"/>
  <c r="AB8" i="14"/>
  <c r="AA8" i="14"/>
  <c r="U8" i="14"/>
  <c r="H8" i="14" s="1"/>
  <c r="E8" i="50" l="1"/>
  <c r="T8" i="50" s="1"/>
  <c r="D8" i="50"/>
  <c r="S8" i="50" s="1"/>
  <c r="F8" i="50" l="1"/>
  <c r="U8" i="50"/>
  <c r="I8" i="50"/>
  <c r="D38" i="2"/>
  <c r="F38" i="2" s="1"/>
  <c r="H38" i="2" s="1"/>
  <c r="L38" i="2" s="1"/>
  <c r="D8" i="47" s="1"/>
  <c r="H5" i="47"/>
  <c r="H20" i="47" s="1"/>
  <c r="B19" i="26"/>
  <c r="O45" i="49"/>
  <c r="O46" i="49"/>
  <c r="O47" i="49"/>
  <c r="O48" i="49"/>
  <c r="O49" i="49"/>
  <c r="O50" i="49"/>
  <c r="O51" i="49"/>
  <c r="O52" i="49"/>
  <c r="O53" i="49"/>
  <c r="O54" i="49"/>
  <c r="O55" i="49"/>
  <c r="O56" i="49"/>
  <c r="O57" i="49"/>
  <c r="O26" i="49"/>
  <c r="O27" i="49"/>
  <c r="O28" i="49"/>
  <c r="O29" i="49"/>
  <c r="O30" i="49"/>
  <c r="O31" i="49"/>
  <c r="O32" i="49"/>
  <c r="O33" i="49"/>
  <c r="O34" i="49"/>
  <c r="O35" i="49"/>
  <c r="O36" i="49"/>
  <c r="O37" i="49"/>
  <c r="O38" i="49"/>
  <c r="E76" i="2"/>
  <c r="E78" i="2"/>
  <c r="E80" i="2"/>
  <c r="E81" i="2"/>
  <c r="E82" i="2"/>
  <c r="E83" i="2"/>
  <c r="E84" i="2"/>
  <c r="E85" i="2"/>
  <c r="E86" i="2"/>
  <c r="E87" i="2"/>
  <c r="E88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55" i="2"/>
  <c r="E44" i="2"/>
  <c r="K44" i="2" s="1"/>
  <c r="E45" i="2"/>
  <c r="K45" i="2" s="1"/>
  <c r="E49" i="2"/>
  <c r="K49" i="2" s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6" i="2"/>
  <c r="R6" i="4" l="1"/>
  <c r="G7" i="49" s="1"/>
  <c r="E8" i="9"/>
  <c r="Q8" i="14"/>
  <c r="H8" i="50"/>
  <c r="J8" i="50" s="1"/>
  <c r="E20" i="2"/>
  <c r="E69" i="2"/>
  <c r="V26" i="14"/>
  <c r="V27" i="14"/>
  <c r="V28" i="14"/>
  <c r="V29" i="14"/>
  <c r="V30" i="14"/>
  <c r="V31" i="14"/>
  <c r="V32" i="14"/>
  <c r="V33" i="14"/>
  <c r="V34" i="14"/>
  <c r="V35" i="14"/>
  <c r="V36" i="14"/>
  <c r="V37" i="14"/>
  <c r="V38" i="14"/>
  <c r="V25" i="14"/>
  <c r="F21" i="30"/>
  <c r="D21" i="30"/>
  <c r="K23" i="30"/>
  <c r="K22" i="30"/>
  <c r="E22" i="30"/>
  <c r="F22" i="30"/>
  <c r="D22" i="30"/>
  <c r="J7" i="56" l="1"/>
  <c r="K7" i="56" s="1"/>
  <c r="M7" i="49"/>
  <c r="N7" i="49" s="1"/>
  <c r="P7" i="49" s="1"/>
  <c r="I7" i="49"/>
  <c r="D34" i="30"/>
  <c r="D36" i="30" s="1"/>
  <c r="H21" i="30"/>
  <c r="J21" i="30"/>
  <c r="K8" i="30"/>
  <c r="K6" i="30"/>
  <c r="K10" i="30"/>
  <c r="K11" i="30"/>
  <c r="K12" i="30"/>
  <c r="K13" i="30"/>
  <c r="K20" i="30"/>
  <c r="K14" i="30"/>
  <c r="K18" i="30"/>
  <c r="K19" i="30"/>
  <c r="K15" i="30"/>
  <c r="K16" i="30"/>
  <c r="K17" i="30"/>
  <c r="D23" i="30"/>
  <c r="F23" i="30"/>
  <c r="E23" i="30"/>
  <c r="G22" i="30"/>
  <c r="C7" i="11" l="1"/>
  <c r="E8" i="47"/>
  <c r="C16" i="47"/>
  <c r="D15" i="56" s="1"/>
  <c r="E15" i="56" s="1"/>
  <c r="U16" i="14"/>
  <c r="H16" i="14" s="1"/>
  <c r="C14" i="47"/>
  <c r="D13" i="56" s="1"/>
  <c r="E13" i="56" s="1"/>
  <c r="U14" i="14"/>
  <c r="H14" i="14" s="1"/>
  <c r="C17" i="47"/>
  <c r="D16" i="56" s="1"/>
  <c r="E16" i="56" s="1"/>
  <c r="U17" i="14"/>
  <c r="H17" i="14" s="1"/>
  <c r="C19" i="47"/>
  <c r="D18" i="56" s="1"/>
  <c r="E18" i="56" s="1"/>
  <c r="U19" i="14"/>
  <c r="H19" i="14" s="1"/>
  <c r="C11" i="47"/>
  <c r="D10" i="56" s="1"/>
  <c r="E10" i="56" s="1"/>
  <c r="U11" i="14"/>
  <c r="H11" i="14" s="1"/>
  <c r="C9" i="47"/>
  <c r="D8" i="56" s="1"/>
  <c r="E8" i="56" s="1"/>
  <c r="U9" i="14"/>
  <c r="H9" i="14" s="1"/>
  <c r="C5" i="47"/>
  <c r="D4" i="56" s="1"/>
  <c r="U5" i="14"/>
  <c r="H5" i="14" s="1"/>
  <c r="C15" i="47"/>
  <c r="D14" i="56" s="1"/>
  <c r="E14" i="56" s="1"/>
  <c r="U15" i="14"/>
  <c r="H15" i="14" s="1"/>
  <c r="C18" i="47"/>
  <c r="D17" i="56" s="1"/>
  <c r="E17" i="56" s="1"/>
  <c r="U18" i="14"/>
  <c r="H18" i="14" s="1"/>
  <c r="C13" i="47"/>
  <c r="D12" i="56" s="1"/>
  <c r="E12" i="56" s="1"/>
  <c r="U13" i="14"/>
  <c r="H13" i="14" s="1"/>
  <c r="C12" i="47"/>
  <c r="D11" i="56" s="1"/>
  <c r="E11" i="56" s="1"/>
  <c r="U12" i="14"/>
  <c r="H12" i="14" s="1"/>
  <c r="C10" i="47"/>
  <c r="D9" i="56" s="1"/>
  <c r="E9" i="56" s="1"/>
  <c r="U10" i="14"/>
  <c r="H10" i="14" s="1"/>
  <c r="C6" i="47"/>
  <c r="D5" i="56" s="1"/>
  <c r="E5" i="56" s="1"/>
  <c r="U6" i="14"/>
  <c r="H6" i="14" s="1"/>
  <c r="C7" i="47"/>
  <c r="D6" i="56" s="1"/>
  <c r="E6" i="56" s="1"/>
  <c r="U7" i="14"/>
  <c r="H7" i="14" s="1"/>
  <c r="G21" i="30"/>
  <c r="G23" i="30" s="1"/>
  <c r="I21" i="30"/>
  <c r="O17" i="30"/>
  <c r="O16" i="30"/>
  <c r="O15" i="30"/>
  <c r="O19" i="30"/>
  <c r="O18" i="30"/>
  <c r="O14" i="30"/>
  <c r="O20" i="30"/>
  <c r="O13" i="30"/>
  <c r="O12" i="30"/>
  <c r="O11" i="30"/>
  <c r="O10" i="30"/>
  <c r="O7" i="30"/>
  <c r="O6" i="30"/>
  <c r="E38" i="30"/>
  <c r="E34" i="30"/>
  <c r="E36" i="30" s="1"/>
  <c r="J38" i="30"/>
  <c r="N21" i="30"/>
  <c r="F38" i="30"/>
  <c r="F34" i="30"/>
  <c r="F36" i="30" s="1"/>
  <c r="L21" i="30"/>
  <c r="D19" i="56" l="1"/>
  <c r="AX9" i="56" s="1"/>
  <c r="E4" i="56"/>
  <c r="E19" i="56" s="1"/>
  <c r="P7" i="56"/>
  <c r="O8" i="30"/>
  <c r="C32" i="47"/>
  <c r="D26" i="56" s="1"/>
  <c r="E26" i="56" s="1"/>
  <c r="U27" i="14"/>
  <c r="H27" i="14" s="1"/>
  <c r="C30" i="47"/>
  <c r="D24" i="56" s="1"/>
  <c r="U25" i="14"/>
  <c r="H25" i="14" s="1"/>
  <c r="K21" i="30"/>
  <c r="M21" i="30"/>
  <c r="C31" i="47"/>
  <c r="D25" i="56" s="1"/>
  <c r="E25" i="56" s="1"/>
  <c r="U26" i="14"/>
  <c r="H26" i="14" s="1"/>
  <c r="C54" i="47"/>
  <c r="D45" i="56" s="1"/>
  <c r="E45" i="56" s="1"/>
  <c r="U45" i="14"/>
  <c r="C33" i="47"/>
  <c r="D28" i="56" s="1"/>
  <c r="E28" i="56" s="1"/>
  <c r="U28" i="14"/>
  <c r="H28" i="14" s="1"/>
  <c r="C56" i="47"/>
  <c r="D47" i="56" s="1"/>
  <c r="E47" i="56" s="1"/>
  <c r="U47" i="14"/>
  <c r="C34" i="47"/>
  <c r="D29" i="56" s="1"/>
  <c r="E29" i="56" s="1"/>
  <c r="U29" i="14"/>
  <c r="H29" i="14" s="1"/>
  <c r="C57" i="47"/>
  <c r="D48" i="56" s="1"/>
  <c r="E48" i="56" s="1"/>
  <c r="U48" i="14"/>
  <c r="C35" i="47"/>
  <c r="D30" i="56" s="1"/>
  <c r="E30" i="56" s="1"/>
  <c r="U30" i="14"/>
  <c r="H30" i="14" s="1"/>
  <c r="C58" i="47"/>
  <c r="D49" i="56" s="1"/>
  <c r="E49" i="56" s="1"/>
  <c r="U49" i="14"/>
  <c r="C36" i="47"/>
  <c r="D31" i="56" s="1"/>
  <c r="E31" i="56" s="1"/>
  <c r="U31" i="14"/>
  <c r="H31" i="14" s="1"/>
  <c r="C59" i="47"/>
  <c r="D50" i="56" s="1"/>
  <c r="E50" i="56" s="1"/>
  <c r="U50" i="14"/>
  <c r="C43" i="47"/>
  <c r="D38" i="56" s="1"/>
  <c r="E38" i="56" s="1"/>
  <c r="U38" i="14"/>
  <c r="H38" i="14" s="1"/>
  <c r="C66" i="47"/>
  <c r="D57" i="56" s="1"/>
  <c r="E57" i="56" s="1"/>
  <c r="U57" i="14"/>
  <c r="C37" i="47"/>
  <c r="D32" i="56" s="1"/>
  <c r="E32" i="56" s="1"/>
  <c r="U32" i="14"/>
  <c r="H32" i="14" s="1"/>
  <c r="C60" i="47"/>
  <c r="D51" i="56" s="1"/>
  <c r="E51" i="56" s="1"/>
  <c r="U51" i="14"/>
  <c r="C41" i="47"/>
  <c r="D36" i="56" s="1"/>
  <c r="E36" i="56" s="1"/>
  <c r="U36" i="14"/>
  <c r="H36" i="14" s="1"/>
  <c r="C64" i="47"/>
  <c r="D55" i="56" s="1"/>
  <c r="E55" i="56" s="1"/>
  <c r="U55" i="14"/>
  <c r="C42" i="47"/>
  <c r="D37" i="56" s="1"/>
  <c r="E37" i="56" s="1"/>
  <c r="U37" i="14"/>
  <c r="H37" i="14" s="1"/>
  <c r="C65" i="47"/>
  <c r="D56" i="56" s="1"/>
  <c r="E56" i="56" s="1"/>
  <c r="U56" i="14"/>
  <c r="C38" i="47"/>
  <c r="D33" i="56" s="1"/>
  <c r="E33" i="56" s="1"/>
  <c r="U33" i="14"/>
  <c r="H33" i="14" s="1"/>
  <c r="C61" i="47"/>
  <c r="D52" i="56" s="1"/>
  <c r="E52" i="56" s="1"/>
  <c r="U52" i="14"/>
  <c r="C39" i="47"/>
  <c r="D34" i="56" s="1"/>
  <c r="E34" i="56" s="1"/>
  <c r="U34" i="14"/>
  <c r="H34" i="14" s="1"/>
  <c r="C62" i="47"/>
  <c r="D53" i="56" s="1"/>
  <c r="E53" i="56" s="1"/>
  <c r="U53" i="14"/>
  <c r="C40" i="47"/>
  <c r="D35" i="56" s="1"/>
  <c r="E35" i="56" s="1"/>
  <c r="U35" i="14"/>
  <c r="H35" i="14" s="1"/>
  <c r="C63" i="47"/>
  <c r="D54" i="56" s="1"/>
  <c r="E54" i="56" s="1"/>
  <c r="U54" i="14"/>
  <c r="I38" i="30"/>
  <c r="AY9" i="56" l="1"/>
  <c r="BD6" i="56" s="1"/>
  <c r="BC6" i="56"/>
  <c r="E24" i="56"/>
  <c r="E39" i="56" s="1"/>
  <c r="D39" i="56"/>
  <c r="AX27" i="56" s="1"/>
  <c r="AY27" i="56" s="1"/>
  <c r="C55" i="47"/>
  <c r="U46" i="14"/>
  <c r="C53" i="47"/>
  <c r="D44" i="56" s="1"/>
  <c r="U44" i="14"/>
  <c r="O21" i="30"/>
  <c r="C19" i="26"/>
  <c r="E44" i="56" l="1"/>
  <c r="D46" i="56"/>
  <c r="E46" i="2"/>
  <c r="K46" i="2" s="1"/>
  <c r="X46" i="47"/>
  <c r="E46" i="56" l="1"/>
  <c r="E58" i="56" s="1"/>
  <c r="AY44" i="56" s="1"/>
  <c r="D58" i="56"/>
  <c r="AX44" i="56" s="1"/>
  <c r="P6" i="9"/>
  <c r="T6" i="9" s="1"/>
  <c r="P7" i="9"/>
  <c r="T7" i="9" s="1"/>
  <c r="P9" i="9"/>
  <c r="T9" i="9" s="1"/>
  <c r="P10" i="9"/>
  <c r="T10" i="9" s="1"/>
  <c r="P11" i="9"/>
  <c r="T11" i="9" s="1"/>
  <c r="P12" i="9"/>
  <c r="T12" i="9" s="1"/>
  <c r="P13" i="9"/>
  <c r="T13" i="9" s="1"/>
  <c r="P14" i="9"/>
  <c r="T14" i="9" s="1"/>
  <c r="P15" i="9"/>
  <c r="T15" i="9" s="1"/>
  <c r="P16" i="9"/>
  <c r="T16" i="9" s="1"/>
  <c r="P17" i="9"/>
  <c r="T17" i="9" s="1"/>
  <c r="P18" i="9"/>
  <c r="T18" i="9" s="1"/>
  <c r="P19" i="9"/>
  <c r="T19" i="9" s="1"/>
  <c r="P5" i="9"/>
  <c r="T5" i="9" s="1"/>
  <c r="Q13" i="9"/>
  <c r="S13" i="9" s="1"/>
  <c r="Q14" i="9"/>
  <c r="S14" i="9" s="1"/>
  <c r="Q15" i="9"/>
  <c r="S15" i="9" s="1"/>
  <c r="Q16" i="9"/>
  <c r="S16" i="9" s="1"/>
  <c r="Q17" i="9"/>
  <c r="S17" i="9" s="1"/>
  <c r="Q18" i="9"/>
  <c r="S18" i="9" s="1"/>
  <c r="Q19" i="9"/>
  <c r="S19" i="9" s="1"/>
  <c r="Q6" i="9"/>
  <c r="S6" i="9" s="1"/>
  <c r="Q7" i="9"/>
  <c r="S7" i="9" s="1"/>
  <c r="Q9" i="9"/>
  <c r="S9" i="9" s="1"/>
  <c r="Q10" i="9"/>
  <c r="S10" i="9" s="1"/>
  <c r="Q11" i="9"/>
  <c r="S11" i="9" s="1"/>
  <c r="Q12" i="9"/>
  <c r="S12" i="9" s="1"/>
  <c r="Q5" i="9"/>
  <c r="S5" i="9" s="1"/>
  <c r="BE6" i="56" l="1"/>
  <c r="E4" i="58"/>
  <c r="F4" i="58" s="1"/>
  <c r="E46" i="49"/>
  <c r="L46" i="49" s="1"/>
  <c r="E47" i="49"/>
  <c r="L47" i="49" s="1"/>
  <c r="E49" i="49"/>
  <c r="L49" i="49" s="1"/>
  <c r="E50" i="49"/>
  <c r="L50" i="49" s="1"/>
  <c r="E51" i="49"/>
  <c r="L51" i="49" s="1"/>
  <c r="E52" i="49"/>
  <c r="L52" i="49" s="1"/>
  <c r="E53" i="49"/>
  <c r="L53" i="49" s="1"/>
  <c r="E54" i="49"/>
  <c r="L54" i="49" s="1"/>
  <c r="E55" i="49"/>
  <c r="L55" i="49" s="1"/>
  <c r="E56" i="49"/>
  <c r="L56" i="49" s="1"/>
  <c r="E57" i="49"/>
  <c r="L57" i="49" s="1"/>
  <c r="E26" i="49"/>
  <c r="E27" i="49"/>
  <c r="E28" i="49"/>
  <c r="E29" i="49"/>
  <c r="L29" i="49" s="1"/>
  <c r="E30" i="49"/>
  <c r="L30" i="49" s="1"/>
  <c r="E31" i="49"/>
  <c r="E32" i="49"/>
  <c r="E33" i="49"/>
  <c r="E34" i="49"/>
  <c r="E35" i="49"/>
  <c r="E36" i="49"/>
  <c r="E37" i="49"/>
  <c r="E38" i="49"/>
  <c r="E25" i="49"/>
  <c r="H19" i="26"/>
  <c r="I19" i="26"/>
  <c r="L25" i="49" l="1"/>
  <c r="E39" i="49"/>
  <c r="L38" i="49"/>
  <c r="L37" i="49"/>
  <c r="L36" i="49"/>
  <c r="L35" i="49"/>
  <c r="L34" i="49"/>
  <c r="L33" i="49"/>
  <c r="L32" i="49"/>
  <c r="L31" i="49"/>
  <c r="L28" i="49"/>
  <c r="L27" i="49"/>
  <c r="L26" i="49"/>
  <c r="E48" i="2" l="1"/>
  <c r="K48" i="2" s="1"/>
  <c r="E47" i="2"/>
  <c r="K47" i="2" s="1"/>
  <c r="E43" i="2"/>
  <c r="K43" i="2" s="1"/>
  <c r="H10" i="1"/>
  <c r="E42" i="2" s="1"/>
  <c r="K42" i="2" s="1"/>
  <c r="H9" i="1"/>
  <c r="E41" i="2" s="1"/>
  <c r="K41" i="2" s="1"/>
  <c r="H8" i="1"/>
  <c r="E40" i="2" s="1"/>
  <c r="K40" i="2" s="1"/>
  <c r="H7" i="1"/>
  <c r="E39" i="2" s="1"/>
  <c r="K39" i="2" s="1"/>
  <c r="H5" i="1"/>
  <c r="E37" i="2" s="1"/>
  <c r="K37" i="2" s="1"/>
  <c r="H4" i="1"/>
  <c r="E36" i="2" s="1"/>
  <c r="K36" i="2" s="1"/>
  <c r="H3" i="1"/>
  <c r="E35" i="2" s="1"/>
  <c r="K35" i="2" l="1"/>
  <c r="E50" i="2"/>
  <c r="AF49" i="14"/>
  <c r="AF48" i="14"/>
  <c r="AF47" i="14"/>
  <c r="AF46" i="14"/>
  <c r="AF45" i="14"/>
  <c r="AF44" i="14"/>
  <c r="AF30" i="14"/>
  <c r="AF29" i="14"/>
  <c r="AF28" i="14"/>
  <c r="AF27" i="14"/>
  <c r="AF26" i="14"/>
  <c r="AF25" i="14"/>
  <c r="AF11" i="14"/>
  <c r="AF10" i="14"/>
  <c r="AF9" i="14"/>
  <c r="AF7" i="14"/>
  <c r="AF6" i="14"/>
  <c r="E7" i="54"/>
  <c r="F7" i="54"/>
  <c r="D7" i="54"/>
  <c r="C13" i="54"/>
  <c r="G5" i="54"/>
  <c r="C5" i="54" s="1"/>
  <c r="G44" i="14" l="1"/>
  <c r="F44" i="14"/>
  <c r="K44" i="14" s="1"/>
  <c r="E44" i="14"/>
  <c r="G45" i="14"/>
  <c r="F45" i="14"/>
  <c r="K45" i="14" s="1"/>
  <c r="E45" i="14"/>
  <c r="G46" i="14"/>
  <c r="F46" i="14"/>
  <c r="K46" i="14" s="1"/>
  <c r="E46" i="14"/>
  <c r="G47" i="14"/>
  <c r="F47" i="14"/>
  <c r="K47" i="14" s="1"/>
  <c r="E47" i="14"/>
  <c r="G48" i="14"/>
  <c r="F48" i="14"/>
  <c r="K48" i="14" s="1"/>
  <c r="E48" i="14"/>
  <c r="G49" i="14"/>
  <c r="F49" i="14"/>
  <c r="K49" i="14" s="1"/>
  <c r="E49" i="14"/>
  <c r="E25" i="14"/>
  <c r="G25" i="14"/>
  <c r="E29" i="14"/>
  <c r="F29" i="14"/>
  <c r="G29" i="14"/>
  <c r="F28" i="14"/>
  <c r="G28" i="14"/>
  <c r="E28" i="14"/>
  <c r="E27" i="14"/>
  <c r="F27" i="14"/>
  <c r="G27" i="14"/>
  <c r="E26" i="14"/>
  <c r="F26" i="14"/>
  <c r="G26" i="14"/>
  <c r="E30" i="14"/>
  <c r="F30" i="14"/>
  <c r="G30" i="14"/>
  <c r="AC27" i="14"/>
  <c r="AB27" i="14"/>
  <c r="AC25" i="14"/>
  <c r="AB25" i="14"/>
  <c r="AB28" i="14"/>
  <c r="AC28" i="14"/>
  <c r="AB29" i="14"/>
  <c r="AC29" i="14"/>
  <c r="AC26" i="14"/>
  <c r="AB26" i="14"/>
  <c r="AC30" i="14"/>
  <c r="AB30" i="14"/>
  <c r="E48" i="49"/>
  <c r="L48" i="49" s="1"/>
  <c r="E79" i="2"/>
  <c r="F25" i="14"/>
  <c r="M42" i="14"/>
  <c r="M23" i="14"/>
  <c r="M3" i="14"/>
  <c r="M8" i="14" s="1"/>
  <c r="L19" i="28"/>
  <c r="Q6" i="28" s="1"/>
  <c r="O7" i="54"/>
  <c r="K26" i="14" l="1"/>
  <c r="K27" i="14"/>
  <c r="K28" i="14"/>
  <c r="K25" i="14"/>
  <c r="K30" i="14"/>
  <c r="K29" i="14"/>
  <c r="M19" i="14"/>
  <c r="M18" i="14"/>
  <c r="M17" i="14"/>
  <c r="M16" i="14"/>
  <c r="M15" i="14"/>
  <c r="M14" i="14"/>
  <c r="M13" i="14"/>
  <c r="M12" i="14"/>
  <c r="M11" i="14"/>
  <c r="M10" i="14"/>
  <c r="M9" i="14"/>
  <c r="M7" i="14"/>
  <c r="M6" i="14"/>
  <c r="M5" i="14"/>
  <c r="M26" i="14"/>
  <c r="M27" i="14"/>
  <c r="M28" i="14"/>
  <c r="M29" i="14"/>
  <c r="M30" i="14"/>
  <c r="M31" i="14"/>
  <c r="M32" i="14"/>
  <c r="M33" i="14"/>
  <c r="M34" i="14"/>
  <c r="M35" i="14"/>
  <c r="M36" i="14"/>
  <c r="M37" i="14"/>
  <c r="M38" i="14"/>
  <c r="M25" i="14"/>
  <c r="M45" i="14"/>
  <c r="M46" i="14"/>
  <c r="M47" i="14"/>
  <c r="M48" i="14"/>
  <c r="M49" i="14"/>
  <c r="M50" i="14"/>
  <c r="M51" i="14"/>
  <c r="M52" i="14"/>
  <c r="M53" i="14"/>
  <c r="M54" i="14"/>
  <c r="M55" i="14"/>
  <c r="M56" i="14"/>
  <c r="M57" i="14"/>
  <c r="M44" i="14"/>
  <c r="M67" i="47"/>
  <c r="N67" i="47"/>
  <c r="N71" i="47" s="1"/>
  <c r="O67" i="47"/>
  <c r="O71" i="47" s="1"/>
  <c r="R67" i="47"/>
  <c r="R71" i="47" s="1"/>
  <c r="Q67" i="47"/>
  <c r="Q71" i="47" s="1"/>
  <c r="P67" i="47"/>
  <c r="P71" i="47" s="1"/>
  <c r="S66" i="47"/>
  <c r="S65" i="47"/>
  <c r="S64" i="47"/>
  <c r="S63" i="47"/>
  <c r="S62" i="47"/>
  <c r="S61" i="47"/>
  <c r="S60" i="47"/>
  <c r="S59" i="47"/>
  <c r="S58" i="47"/>
  <c r="S57" i="47"/>
  <c r="S56" i="47"/>
  <c r="S55" i="47"/>
  <c r="S75" i="47" s="1"/>
  <c r="S54" i="47"/>
  <c r="S53" i="47"/>
  <c r="S31" i="47"/>
  <c r="S32" i="47"/>
  <c r="S33" i="47"/>
  <c r="S34" i="47"/>
  <c r="S35" i="47"/>
  <c r="S36" i="47"/>
  <c r="S37" i="47"/>
  <c r="S38" i="47"/>
  <c r="S39" i="47"/>
  <c r="S40" i="47"/>
  <c r="S41" i="47"/>
  <c r="S42" i="47"/>
  <c r="S43" i="47"/>
  <c r="S30" i="47"/>
  <c r="S19" i="47"/>
  <c r="S6" i="47"/>
  <c r="S7" i="47"/>
  <c r="S9" i="47"/>
  <c r="S10" i="47"/>
  <c r="S11" i="47"/>
  <c r="S12" i="47"/>
  <c r="S13" i="47"/>
  <c r="S14" i="47"/>
  <c r="S15" i="47"/>
  <c r="S16" i="47"/>
  <c r="S17" i="47"/>
  <c r="S18" i="47"/>
  <c r="S5" i="47"/>
  <c r="R44" i="47"/>
  <c r="R48" i="47" s="1"/>
  <c r="O44" i="47"/>
  <c r="O48" i="47" s="1"/>
  <c r="N44" i="47"/>
  <c r="N48" i="47" s="1"/>
  <c r="Q44" i="47"/>
  <c r="Q48" i="47" s="1"/>
  <c r="P44" i="47"/>
  <c r="P48" i="47" s="1"/>
  <c r="M44" i="47"/>
  <c r="R20" i="47"/>
  <c r="O20" i="47"/>
  <c r="N20" i="47"/>
  <c r="Q20" i="47"/>
  <c r="P20" i="47"/>
  <c r="M20" i="47"/>
  <c r="E44" i="49" l="1"/>
  <c r="E74" i="2"/>
  <c r="E45" i="49"/>
  <c r="L45" i="49" s="1"/>
  <c r="E75" i="2"/>
  <c r="L44" i="49"/>
  <c r="S44" i="47"/>
  <c r="M48" i="47"/>
  <c r="M71" i="47"/>
  <c r="S67" i="47"/>
  <c r="S71" i="47" s="1"/>
  <c r="S20" i="47"/>
  <c r="E58" i="49" l="1"/>
  <c r="E89" i="2"/>
  <c r="H32" i="47"/>
  <c r="H31" i="47"/>
  <c r="H30" i="47"/>
  <c r="C44" i="47"/>
  <c r="C48" i="47" s="1"/>
  <c r="I68" i="47"/>
  <c r="V44" i="14"/>
  <c r="V39" i="14"/>
  <c r="AB5" i="14"/>
  <c r="G22" i="51"/>
  <c r="F22" i="51"/>
  <c r="E22" i="51"/>
  <c r="D22" i="51"/>
  <c r="C22" i="51"/>
  <c r="G21" i="51"/>
  <c r="F21" i="51"/>
  <c r="E21" i="51"/>
  <c r="D21" i="51"/>
  <c r="C21" i="51"/>
  <c r="G18" i="51"/>
  <c r="F18" i="51"/>
  <c r="E18" i="51"/>
  <c r="D18" i="51"/>
  <c r="C18" i="51"/>
  <c r="H17" i="51"/>
  <c r="H16" i="51"/>
  <c r="H18" i="51" s="1"/>
  <c r="G14" i="51"/>
  <c r="F14" i="51"/>
  <c r="E14" i="51"/>
  <c r="D14" i="51"/>
  <c r="C14" i="51"/>
  <c r="H13" i="51"/>
  <c r="H12" i="51"/>
  <c r="H14" i="51" s="1"/>
  <c r="G6" i="51"/>
  <c r="F6" i="51"/>
  <c r="E6" i="51"/>
  <c r="D6" i="51"/>
  <c r="S46" i="47" s="1"/>
  <c r="S48" i="47" s="1"/>
  <c r="C6" i="51"/>
  <c r="H5" i="51"/>
  <c r="H4" i="51"/>
  <c r="M3" i="51"/>
  <c r="L3" i="51"/>
  <c r="K3" i="51"/>
  <c r="J3" i="51"/>
  <c r="I3" i="51"/>
  <c r="H3" i="51"/>
  <c r="I47" i="47"/>
  <c r="AX32" i="56" s="1"/>
  <c r="AY32" i="56" s="1"/>
  <c r="F23" i="51" l="1"/>
  <c r="G23" i="51"/>
  <c r="H22" i="51"/>
  <c r="D23" i="51"/>
  <c r="H44" i="47"/>
  <c r="E23" i="51"/>
  <c r="H6" i="51"/>
  <c r="U39" i="14"/>
  <c r="H44" i="14"/>
  <c r="H57" i="14"/>
  <c r="H56" i="14"/>
  <c r="H55" i="14"/>
  <c r="H54" i="14"/>
  <c r="H53" i="14"/>
  <c r="H52" i="14"/>
  <c r="H51" i="14"/>
  <c r="H50" i="14"/>
  <c r="H49" i="14"/>
  <c r="H48" i="14"/>
  <c r="H47" i="14"/>
  <c r="H46" i="14"/>
  <c r="H45" i="14"/>
  <c r="D19" i="26"/>
  <c r="H53" i="47"/>
  <c r="H54" i="47"/>
  <c r="V45" i="14"/>
  <c r="H55" i="47"/>
  <c r="V46" i="14"/>
  <c r="H56" i="47"/>
  <c r="V47" i="14"/>
  <c r="H57" i="47"/>
  <c r="V48" i="14"/>
  <c r="H58" i="47"/>
  <c r="V49" i="14"/>
  <c r="H59" i="47"/>
  <c r="V50" i="14"/>
  <c r="H60" i="47"/>
  <c r="V51" i="14"/>
  <c r="H61" i="47"/>
  <c r="V52" i="14"/>
  <c r="H62" i="47"/>
  <c r="V53" i="14"/>
  <c r="H63" i="47"/>
  <c r="V54" i="14"/>
  <c r="H64" i="47"/>
  <c r="V55" i="14"/>
  <c r="V56" i="14"/>
  <c r="H66" i="47"/>
  <c r="V57" i="14"/>
  <c r="C20" i="47"/>
  <c r="C23" i="51"/>
  <c r="H21" i="51"/>
  <c r="H23" i="51" s="1"/>
  <c r="H48" i="47" l="1"/>
  <c r="C24" i="47"/>
  <c r="H24" i="47"/>
  <c r="AA6" i="14"/>
  <c r="H67" i="47"/>
  <c r="H71" i="47" s="1"/>
  <c r="C67" i="47"/>
  <c r="C71" i="47" s="1"/>
  <c r="AA11" i="14"/>
  <c r="AA10" i="14"/>
  <c r="AA9" i="14"/>
  <c r="AA7" i="14"/>
  <c r="AA44" i="14"/>
  <c r="AB44" i="14" l="1"/>
  <c r="AA5" i="14"/>
  <c r="AA25" i="14"/>
  <c r="AA26" i="14"/>
  <c r="AA27" i="14"/>
  <c r="AA28" i="14"/>
  <c r="AA29" i="14"/>
  <c r="AA30" i="14"/>
  <c r="AC11" i="14" l="1"/>
  <c r="AC10" i="14"/>
  <c r="AC9" i="14"/>
  <c r="AC7" i="14"/>
  <c r="AB11" i="14"/>
  <c r="AB10" i="14"/>
  <c r="AB9" i="14"/>
  <c r="AB7" i="14"/>
  <c r="AC5" i="14"/>
  <c r="AC6" i="14"/>
  <c r="AB6" i="14"/>
  <c r="AA49" i="14"/>
  <c r="AA48" i="14"/>
  <c r="AA47" i="14"/>
  <c r="AA46" i="14"/>
  <c r="AA45" i="14"/>
  <c r="F5" i="14"/>
  <c r="K5" i="14" s="1"/>
  <c r="E5" i="14"/>
  <c r="AB49" i="14" l="1"/>
  <c r="AB48" i="14"/>
  <c r="AB47" i="14"/>
  <c r="AB46" i="14"/>
  <c r="AB45" i="14"/>
  <c r="AC44" i="14"/>
  <c r="Z58" i="14"/>
  <c r="D58" i="14"/>
  <c r="Z57" i="14"/>
  <c r="Z56" i="14"/>
  <c r="Z55" i="14"/>
  <c r="Z54" i="14"/>
  <c r="Z53" i="14"/>
  <c r="Z52" i="14"/>
  <c r="Z51" i="14"/>
  <c r="AF50" i="14"/>
  <c r="Z50" i="14"/>
  <c r="AH50" i="14" s="1"/>
  <c r="V58" i="14"/>
  <c r="G58" i="14"/>
  <c r="Z39" i="14"/>
  <c r="D39" i="14"/>
  <c r="Z38" i="14"/>
  <c r="Z37" i="14"/>
  <c r="Z36" i="14"/>
  <c r="Z35" i="14"/>
  <c r="Z34" i="14"/>
  <c r="Z33" i="14"/>
  <c r="Z32" i="14"/>
  <c r="AF31" i="14"/>
  <c r="Z31" i="14"/>
  <c r="AH31" i="14" s="1"/>
  <c r="K39" i="14"/>
  <c r="G39" i="14"/>
  <c r="F39" i="14"/>
  <c r="Z20" i="14"/>
  <c r="S20" i="14"/>
  <c r="R20" i="14"/>
  <c r="D20" i="14"/>
  <c r="Z19" i="14"/>
  <c r="Z18" i="14"/>
  <c r="Z17" i="14"/>
  <c r="Z16" i="14"/>
  <c r="Z15" i="14"/>
  <c r="Z14" i="14"/>
  <c r="Z13" i="14"/>
  <c r="AF12" i="14"/>
  <c r="V20" i="14"/>
  <c r="K20" i="14"/>
  <c r="G20" i="14"/>
  <c r="F20" i="14"/>
  <c r="O25" i="49"/>
  <c r="O44" i="49"/>
  <c r="O5" i="49"/>
  <c r="O6" i="49"/>
  <c r="O8" i="49"/>
  <c r="O9" i="49"/>
  <c r="O10" i="49"/>
  <c r="O11" i="49"/>
  <c r="O12" i="49"/>
  <c r="O13" i="49"/>
  <c r="O14" i="49"/>
  <c r="O15" i="49"/>
  <c r="O16" i="49"/>
  <c r="O17" i="49"/>
  <c r="O18" i="49"/>
  <c r="O4" i="49"/>
  <c r="E18" i="49"/>
  <c r="E17" i="49"/>
  <c r="E16" i="49"/>
  <c r="E15" i="49"/>
  <c r="E14" i="49"/>
  <c r="E13" i="49"/>
  <c r="E12" i="49"/>
  <c r="E11" i="49"/>
  <c r="E10" i="49"/>
  <c r="E9" i="49"/>
  <c r="E8" i="49"/>
  <c r="E6" i="49"/>
  <c r="E5" i="49"/>
  <c r="E4" i="49"/>
  <c r="Z40" i="49"/>
  <c r="Z22" i="49"/>
  <c r="Z1" i="49"/>
  <c r="E47" i="50"/>
  <c r="T47" i="50" s="1"/>
  <c r="E48" i="50"/>
  <c r="T48" i="50" s="1"/>
  <c r="E49" i="50"/>
  <c r="T49" i="50" s="1"/>
  <c r="E50" i="50"/>
  <c r="T50" i="50" s="1"/>
  <c r="E51" i="50"/>
  <c r="T51" i="50" s="1"/>
  <c r="E52" i="50"/>
  <c r="T52" i="50" s="1"/>
  <c r="E53" i="50"/>
  <c r="T53" i="50" s="1"/>
  <c r="E54" i="50"/>
  <c r="T54" i="50" s="1"/>
  <c r="E55" i="50"/>
  <c r="T55" i="50" s="1"/>
  <c r="E56" i="50"/>
  <c r="T56" i="50" s="1"/>
  <c r="E57" i="50"/>
  <c r="T57" i="50" s="1"/>
  <c r="E58" i="50"/>
  <c r="T58" i="50" s="1"/>
  <c r="E59" i="50"/>
  <c r="T59" i="50" s="1"/>
  <c r="E46" i="50"/>
  <c r="T46" i="50" s="1"/>
  <c r="E27" i="50"/>
  <c r="T27" i="50" s="1"/>
  <c r="E28" i="50"/>
  <c r="T28" i="50" s="1"/>
  <c r="E29" i="50"/>
  <c r="T29" i="50" s="1"/>
  <c r="E30" i="50"/>
  <c r="T30" i="50" s="1"/>
  <c r="E31" i="50"/>
  <c r="T31" i="50" s="1"/>
  <c r="E32" i="50"/>
  <c r="T32" i="50" s="1"/>
  <c r="E33" i="50"/>
  <c r="T33" i="50" s="1"/>
  <c r="E34" i="50"/>
  <c r="T34" i="50" s="1"/>
  <c r="E35" i="50"/>
  <c r="T35" i="50" s="1"/>
  <c r="E36" i="50"/>
  <c r="T36" i="50" s="1"/>
  <c r="E37" i="50"/>
  <c r="T37" i="50" s="1"/>
  <c r="E38" i="50"/>
  <c r="T38" i="50" s="1"/>
  <c r="E39" i="50"/>
  <c r="T39" i="50" s="1"/>
  <c r="E26" i="50"/>
  <c r="T26" i="50" s="1"/>
  <c r="E6" i="50"/>
  <c r="T6" i="50" s="1"/>
  <c r="E7" i="50"/>
  <c r="T7" i="50" s="1"/>
  <c r="E9" i="50"/>
  <c r="T9" i="50" s="1"/>
  <c r="E10" i="50"/>
  <c r="T10" i="50" s="1"/>
  <c r="E11" i="50"/>
  <c r="T11" i="50" s="1"/>
  <c r="E12" i="50"/>
  <c r="T12" i="50" s="1"/>
  <c r="E13" i="50"/>
  <c r="T13" i="50" s="1"/>
  <c r="E14" i="50"/>
  <c r="T14" i="50" s="1"/>
  <c r="E15" i="50"/>
  <c r="T15" i="50" s="1"/>
  <c r="E16" i="50"/>
  <c r="T16" i="50" s="1"/>
  <c r="E17" i="50"/>
  <c r="T17" i="50" s="1"/>
  <c r="E18" i="50"/>
  <c r="T18" i="50" s="1"/>
  <c r="E19" i="50"/>
  <c r="T19" i="50" s="1"/>
  <c r="E5" i="50"/>
  <c r="T5" i="50" s="1"/>
  <c r="P59" i="50"/>
  <c r="P58" i="50"/>
  <c r="P57" i="50"/>
  <c r="P56" i="50"/>
  <c r="P55" i="50"/>
  <c r="P54" i="50"/>
  <c r="P53" i="50"/>
  <c r="P52" i="50"/>
  <c r="P51" i="50"/>
  <c r="P50" i="50"/>
  <c r="P49" i="50"/>
  <c r="P48" i="50"/>
  <c r="P47" i="50"/>
  <c r="P46" i="50"/>
  <c r="Y43" i="50"/>
  <c r="P39" i="50"/>
  <c r="P38" i="50"/>
  <c r="P37" i="50"/>
  <c r="P36" i="50"/>
  <c r="P35" i="50"/>
  <c r="P34" i="50"/>
  <c r="P33" i="50"/>
  <c r="P32" i="50"/>
  <c r="P31" i="50"/>
  <c r="P30" i="50"/>
  <c r="P29" i="50"/>
  <c r="P28" i="50"/>
  <c r="P27" i="50"/>
  <c r="P26" i="50"/>
  <c r="Y23" i="50"/>
  <c r="P19" i="50"/>
  <c r="P18" i="50"/>
  <c r="P17" i="50"/>
  <c r="P16" i="50"/>
  <c r="P15" i="50"/>
  <c r="P14" i="50"/>
  <c r="P13" i="50"/>
  <c r="P12" i="50"/>
  <c r="P11" i="50"/>
  <c r="P10" i="50"/>
  <c r="P9" i="50"/>
  <c r="P7" i="50"/>
  <c r="P6" i="50"/>
  <c r="P5" i="50"/>
  <c r="J18" i="1"/>
  <c r="L18" i="1"/>
  <c r="I56" i="2"/>
  <c r="K56" i="2" s="1"/>
  <c r="I57" i="2"/>
  <c r="K57" i="2" s="1"/>
  <c r="I58" i="2"/>
  <c r="K58" i="2" s="1"/>
  <c r="I59" i="2"/>
  <c r="K59" i="2" s="1"/>
  <c r="I60" i="2"/>
  <c r="K60" i="2" s="1"/>
  <c r="I61" i="2"/>
  <c r="K61" i="2" s="1"/>
  <c r="I62" i="2"/>
  <c r="K62" i="2" s="1"/>
  <c r="I63" i="2"/>
  <c r="K63" i="2" s="1"/>
  <c r="I64" i="2"/>
  <c r="K64" i="2" s="1"/>
  <c r="I65" i="2"/>
  <c r="K65" i="2" s="1"/>
  <c r="I66" i="2"/>
  <c r="K66" i="2" s="1"/>
  <c r="I67" i="2"/>
  <c r="K67" i="2" s="1"/>
  <c r="I68" i="2"/>
  <c r="K68" i="2" s="1"/>
  <c r="I55" i="2"/>
  <c r="K55" i="2" s="1"/>
  <c r="V37" i="50" l="1"/>
  <c r="V36" i="50"/>
  <c r="V39" i="50"/>
  <c r="V35" i="50"/>
  <c r="V38" i="50"/>
  <c r="V34" i="50"/>
  <c r="V33" i="50"/>
  <c r="V56" i="50"/>
  <c r="V55" i="50"/>
  <c r="V57" i="50"/>
  <c r="V59" i="50"/>
  <c r="V58" i="50"/>
  <c r="V54" i="50"/>
  <c r="V53" i="50"/>
  <c r="AC39" i="14"/>
  <c r="AC49" i="14"/>
  <c r="AC48" i="14"/>
  <c r="AC47" i="14"/>
  <c r="AC46" i="14"/>
  <c r="K58" i="14"/>
  <c r="AC45" i="14"/>
  <c r="L4" i="49"/>
  <c r="L5" i="49"/>
  <c r="S45" i="49"/>
  <c r="L6" i="49"/>
  <c r="L8" i="49"/>
  <c r="L9" i="49"/>
  <c r="L10" i="49"/>
  <c r="S49" i="49"/>
  <c r="L11" i="49"/>
  <c r="S50" i="49"/>
  <c r="L12" i="49"/>
  <c r="S51" i="49"/>
  <c r="L13" i="49"/>
  <c r="L14" i="49"/>
  <c r="L15" i="49"/>
  <c r="S54" i="49"/>
  <c r="L16" i="49"/>
  <c r="S55" i="49"/>
  <c r="L17" i="49"/>
  <c r="S56" i="49"/>
  <c r="L18" i="49"/>
  <c r="S57" i="49"/>
  <c r="F58" i="14"/>
  <c r="AC20" i="14"/>
  <c r="I74" i="2"/>
  <c r="K74" i="2" s="1"/>
  <c r="I88" i="2"/>
  <c r="K88" i="2" s="1"/>
  <c r="I87" i="2"/>
  <c r="K87" i="2" s="1"/>
  <c r="I86" i="2"/>
  <c r="K86" i="2" s="1"/>
  <c r="I85" i="2"/>
  <c r="K85" i="2" s="1"/>
  <c r="I84" i="2"/>
  <c r="K84" i="2" s="1"/>
  <c r="I83" i="2"/>
  <c r="K83" i="2" s="1"/>
  <c r="I82" i="2"/>
  <c r="K82" i="2" s="1"/>
  <c r="I81" i="2"/>
  <c r="K81" i="2" s="1"/>
  <c r="I80" i="2"/>
  <c r="K80" i="2" s="1"/>
  <c r="I79" i="2"/>
  <c r="K79" i="2" s="1"/>
  <c r="I78" i="2"/>
  <c r="K78" i="2" s="1"/>
  <c r="I76" i="2"/>
  <c r="K76" i="2" s="1"/>
  <c r="I75" i="2"/>
  <c r="K75" i="2" s="1"/>
  <c r="E58" i="14"/>
  <c r="AA50" i="14"/>
  <c r="AA51" i="14"/>
  <c r="AB51" i="14" s="1"/>
  <c r="AA52" i="14"/>
  <c r="AB52" i="14" s="1"/>
  <c r="AA53" i="14"/>
  <c r="AB53" i="14" s="1"/>
  <c r="AA54" i="14"/>
  <c r="AB54" i="14" s="1"/>
  <c r="AA55" i="14"/>
  <c r="AB55" i="14" s="1"/>
  <c r="AA56" i="14"/>
  <c r="AB56" i="14" s="1"/>
  <c r="AA57" i="14"/>
  <c r="AB57" i="14" s="1"/>
  <c r="E39" i="14"/>
  <c r="AA31" i="14"/>
  <c r="AA32" i="14"/>
  <c r="AB32" i="14" s="1"/>
  <c r="AA33" i="14"/>
  <c r="AB33" i="14" s="1"/>
  <c r="AA34" i="14"/>
  <c r="AB34" i="14" s="1"/>
  <c r="AA35" i="14"/>
  <c r="AB35" i="14" s="1"/>
  <c r="AA36" i="14"/>
  <c r="AB36" i="14" s="1"/>
  <c r="AA37" i="14"/>
  <c r="AB37" i="14" s="1"/>
  <c r="AA38" i="14"/>
  <c r="AB38" i="14" s="1"/>
  <c r="E20" i="14"/>
  <c r="AA12" i="14"/>
  <c r="AA13" i="14"/>
  <c r="AB13" i="14" s="1"/>
  <c r="AA14" i="14"/>
  <c r="AB14" i="14" s="1"/>
  <c r="AA15" i="14"/>
  <c r="AB15" i="14" s="1"/>
  <c r="AA16" i="14"/>
  <c r="AB16" i="14" s="1"/>
  <c r="AA17" i="14"/>
  <c r="AB17" i="14" s="1"/>
  <c r="AA18" i="14"/>
  <c r="AB18" i="14" s="1"/>
  <c r="AA19" i="14"/>
  <c r="AB19" i="14" s="1"/>
  <c r="S46" i="49"/>
  <c r="S47" i="49"/>
  <c r="S48" i="49"/>
  <c r="S52" i="49"/>
  <c r="S53" i="49"/>
  <c r="S27" i="49"/>
  <c r="S28" i="49"/>
  <c r="S33" i="49"/>
  <c r="S34" i="49"/>
  <c r="S35" i="49"/>
  <c r="S36" i="49"/>
  <c r="S37" i="49"/>
  <c r="E19" i="49"/>
  <c r="S4" i="49"/>
  <c r="S5" i="49"/>
  <c r="S6" i="49"/>
  <c r="S8" i="49"/>
  <c r="S9" i="49"/>
  <c r="S10" i="49"/>
  <c r="S11" i="49"/>
  <c r="S12" i="49"/>
  <c r="S13" i="49"/>
  <c r="S14" i="49"/>
  <c r="S15" i="49"/>
  <c r="S16" i="49"/>
  <c r="S17" i="49"/>
  <c r="S18" i="49"/>
  <c r="E60" i="50"/>
  <c r="M46" i="50"/>
  <c r="M47" i="50"/>
  <c r="M48" i="50"/>
  <c r="M49" i="50"/>
  <c r="M50" i="50"/>
  <c r="M51" i="50"/>
  <c r="M52" i="50"/>
  <c r="M53" i="50"/>
  <c r="M54" i="50"/>
  <c r="M55" i="50"/>
  <c r="M56" i="50"/>
  <c r="M57" i="50"/>
  <c r="M58" i="50"/>
  <c r="M59" i="50"/>
  <c r="E40" i="50"/>
  <c r="M26" i="50"/>
  <c r="M27" i="50"/>
  <c r="M28" i="50"/>
  <c r="M29" i="50"/>
  <c r="M30" i="50"/>
  <c r="M31" i="50"/>
  <c r="M32" i="50"/>
  <c r="M33" i="50"/>
  <c r="M34" i="50"/>
  <c r="M35" i="50"/>
  <c r="M36" i="50"/>
  <c r="M37" i="50"/>
  <c r="M38" i="50"/>
  <c r="M39" i="50"/>
  <c r="E20" i="50"/>
  <c r="M5" i="50"/>
  <c r="M6" i="50"/>
  <c r="M7" i="50"/>
  <c r="M9" i="50"/>
  <c r="M10" i="50"/>
  <c r="M11" i="50"/>
  <c r="M12" i="50"/>
  <c r="M13" i="50"/>
  <c r="M14" i="50"/>
  <c r="M15" i="50"/>
  <c r="M16" i="50"/>
  <c r="M17" i="50"/>
  <c r="M18" i="50"/>
  <c r="M19" i="50"/>
  <c r="S26" i="49" l="1"/>
  <c r="S25" i="49"/>
  <c r="S44" i="49"/>
  <c r="S38" i="49"/>
  <c r="S32" i="49"/>
  <c r="S31" i="49"/>
  <c r="S29" i="49"/>
  <c r="S30" i="49"/>
  <c r="AC58" i="14"/>
  <c r="H58" i="14"/>
  <c r="U58" i="14"/>
  <c r="H39" i="14"/>
  <c r="H20" i="14"/>
  <c r="U20" i="14"/>
  <c r="AA58" i="14"/>
  <c r="AB50" i="14"/>
  <c r="AB58" i="14" s="1"/>
  <c r="AA39" i="14"/>
  <c r="AB31" i="14"/>
  <c r="AB39" i="14" s="1"/>
  <c r="AA20" i="14"/>
  <c r="AB12" i="14"/>
  <c r="AB20" i="14" s="1"/>
  <c r="L58" i="49"/>
  <c r="S58" i="49"/>
  <c r="L39" i="49"/>
  <c r="L19" i="49"/>
  <c r="S19" i="49"/>
  <c r="M60" i="50"/>
  <c r="T60" i="50"/>
  <c r="M40" i="50"/>
  <c r="T40" i="50"/>
  <c r="M20" i="50"/>
  <c r="T20" i="50"/>
  <c r="S39" i="49" l="1"/>
  <c r="K89" i="2"/>
  <c r="K69" i="2"/>
  <c r="K50" i="2"/>
  <c r="H18" i="1"/>
  <c r="W8" i="50" l="1"/>
  <c r="U57" i="49"/>
  <c r="U56" i="49"/>
  <c r="U55" i="49"/>
  <c r="U54" i="49"/>
  <c r="U53" i="49"/>
  <c r="U52" i="49"/>
  <c r="U51" i="49"/>
  <c r="U50" i="49"/>
  <c r="U49" i="49"/>
  <c r="U48" i="49"/>
  <c r="U47" i="49"/>
  <c r="U46" i="49"/>
  <c r="U45" i="49"/>
  <c r="U44" i="49"/>
  <c r="U38" i="49"/>
  <c r="U37" i="49"/>
  <c r="U36" i="49"/>
  <c r="U35" i="49"/>
  <c r="U34" i="49"/>
  <c r="U33" i="49"/>
  <c r="U32" i="49"/>
  <c r="U31" i="49"/>
  <c r="U30" i="49"/>
  <c r="U29" i="49"/>
  <c r="U28" i="49"/>
  <c r="U27" i="49"/>
  <c r="U26" i="49"/>
  <c r="U25" i="49"/>
  <c r="U18" i="49"/>
  <c r="U17" i="49"/>
  <c r="U16" i="49"/>
  <c r="U15" i="49"/>
  <c r="U14" i="49"/>
  <c r="U13" i="49"/>
  <c r="U12" i="49"/>
  <c r="U11" i="49"/>
  <c r="U10" i="49"/>
  <c r="U9" i="49"/>
  <c r="U8" i="49"/>
  <c r="U6" i="49"/>
  <c r="U5" i="49"/>
  <c r="U4" i="49"/>
  <c r="X8" i="50" l="1"/>
  <c r="Y8" i="50" s="1"/>
  <c r="Z8" i="50" l="1"/>
  <c r="C8" i="13" s="1"/>
  <c r="G8" i="47" s="1"/>
  <c r="AC7" i="56" s="1"/>
  <c r="AD7" i="56" s="1"/>
  <c r="R8" i="14"/>
  <c r="K6" i="2"/>
  <c r="L19" i="2" l="1"/>
  <c r="L18" i="2"/>
  <c r="L17" i="2"/>
  <c r="L10" i="2"/>
  <c r="L7" i="2"/>
  <c r="C17" i="9" l="1"/>
  <c r="P15" i="4" s="1"/>
  <c r="L8" i="2"/>
  <c r="L11" i="2"/>
  <c r="L12" i="2"/>
  <c r="C19" i="9"/>
  <c r="P17" i="4" s="1"/>
  <c r="C18" i="9"/>
  <c r="P16" i="4" s="1"/>
  <c r="C10" i="9"/>
  <c r="P8" i="4" s="1"/>
  <c r="C6" i="9"/>
  <c r="P4" i="4" s="1"/>
  <c r="C12" i="9" l="1"/>
  <c r="P10" i="4" s="1"/>
  <c r="C11" i="9"/>
  <c r="P9" i="4" s="1"/>
  <c r="C7" i="9"/>
  <c r="P5" i="4" s="1"/>
  <c r="E5" i="1" l="1"/>
  <c r="G5" i="1" s="1"/>
  <c r="D27" i="49" s="1"/>
  <c r="I7" i="14" l="1"/>
  <c r="P7" i="14"/>
  <c r="D6" i="49"/>
  <c r="D7" i="50"/>
  <c r="F7" i="50" s="1"/>
  <c r="I5" i="1"/>
  <c r="D37" i="2"/>
  <c r="D46" i="49" l="1"/>
  <c r="D57" i="2"/>
  <c r="P27" i="14"/>
  <c r="I27" i="14"/>
  <c r="R27" i="49"/>
  <c r="D28" i="50"/>
  <c r="F28" i="50" s="1"/>
  <c r="K5" i="1"/>
  <c r="S7" i="50"/>
  <c r="R6" i="49"/>
  <c r="F57" i="2"/>
  <c r="F37" i="2"/>
  <c r="V6" i="49" l="1"/>
  <c r="T6" i="49"/>
  <c r="W7" i="50"/>
  <c r="U7" i="50"/>
  <c r="P46" i="14"/>
  <c r="I46" i="14" s="1"/>
  <c r="R46" i="49"/>
  <c r="D48" i="50"/>
  <c r="F48" i="50" s="1"/>
  <c r="D76" i="2"/>
  <c r="F76" i="2" s="1"/>
  <c r="V27" i="49"/>
  <c r="T27" i="49"/>
  <c r="W6" i="49" l="1"/>
  <c r="X6" i="49" s="1"/>
  <c r="X7" i="50"/>
  <c r="S28" i="50"/>
  <c r="W27" i="49"/>
  <c r="X27" i="49" s="1"/>
  <c r="V46" i="49"/>
  <c r="T46" i="49"/>
  <c r="Y7" i="50"/>
  <c r="C7" i="13" l="1"/>
  <c r="W28" i="50"/>
  <c r="U28" i="50"/>
  <c r="W46" i="49"/>
  <c r="X46" i="49" s="1"/>
  <c r="G7" i="47"/>
  <c r="AC6" i="56" s="1"/>
  <c r="AD6" i="56" s="1"/>
  <c r="R7" i="14"/>
  <c r="S48" i="50" l="1"/>
  <c r="X28" i="50"/>
  <c r="Y28" i="50" s="1"/>
  <c r="R27" i="14" s="1"/>
  <c r="D7" i="13" l="1"/>
  <c r="G32" i="47" s="1"/>
  <c r="AC26" i="56" s="1"/>
  <c r="AD26" i="56" s="1"/>
  <c r="W48" i="50"/>
  <c r="U48" i="50"/>
  <c r="X48" i="50" l="1"/>
  <c r="Y48" i="50" s="1"/>
  <c r="R46" i="14" l="1"/>
  <c r="E7" i="13"/>
  <c r="G55" i="47" s="1"/>
  <c r="AC46" i="56" l="1"/>
  <c r="AD46" i="56" s="1"/>
  <c r="K16" i="2"/>
  <c r="K15" i="2"/>
  <c r="K14" i="2"/>
  <c r="K13" i="2"/>
  <c r="K9" i="2"/>
  <c r="K20" i="2" l="1"/>
  <c r="N18" i="4"/>
  <c r="M18" i="4"/>
  <c r="L18" i="4"/>
  <c r="K18" i="4"/>
  <c r="I18" i="4"/>
  <c r="H18" i="4"/>
  <c r="G18" i="4"/>
  <c r="F18" i="4"/>
  <c r="E18" i="4"/>
  <c r="D18" i="4"/>
  <c r="J17" i="4"/>
  <c r="J16" i="4"/>
  <c r="J15" i="4"/>
  <c r="J14" i="4"/>
  <c r="J13" i="4"/>
  <c r="J12" i="4"/>
  <c r="J11" i="4"/>
  <c r="J10" i="4"/>
  <c r="J9" i="4"/>
  <c r="J8" i="4"/>
  <c r="J7" i="4"/>
  <c r="J5" i="4"/>
  <c r="J4" i="4"/>
  <c r="J3" i="4"/>
  <c r="O3" i="4" s="1"/>
  <c r="O4" i="4" l="1"/>
  <c r="Q4" i="4" s="1"/>
  <c r="G36" i="2" s="1"/>
  <c r="O5" i="4"/>
  <c r="Q5" i="4" s="1"/>
  <c r="G37" i="2" s="1"/>
  <c r="O7" i="4"/>
  <c r="O8" i="4"/>
  <c r="Q8" i="4" s="1"/>
  <c r="G40" i="2" s="1"/>
  <c r="O9" i="4"/>
  <c r="Q9" i="4" s="1"/>
  <c r="G41" i="2" s="1"/>
  <c r="O10" i="4"/>
  <c r="Q10" i="4" s="1"/>
  <c r="G42" i="2" s="1"/>
  <c r="O11" i="4"/>
  <c r="O12" i="4"/>
  <c r="O13" i="4"/>
  <c r="O14" i="4"/>
  <c r="O15" i="4"/>
  <c r="Q15" i="4" s="1"/>
  <c r="G47" i="2" s="1"/>
  <c r="O16" i="4"/>
  <c r="Q16" i="4" s="1"/>
  <c r="G48" i="2" s="1"/>
  <c r="O17" i="4"/>
  <c r="J18" i="4"/>
  <c r="Q17" i="4" l="1"/>
  <c r="G49" i="2" s="1"/>
  <c r="J37" i="2"/>
  <c r="L37" i="2" s="1"/>
  <c r="E7" i="9" s="1"/>
  <c r="H37" i="2"/>
  <c r="F17" i="49"/>
  <c r="G18" i="50"/>
  <c r="F16" i="49"/>
  <c r="G17" i="50"/>
  <c r="F11" i="49"/>
  <c r="G12" i="50"/>
  <c r="F10" i="49"/>
  <c r="G11" i="50"/>
  <c r="F9" i="49"/>
  <c r="G10" i="50"/>
  <c r="F6" i="49"/>
  <c r="G7" i="50"/>
  <c r="F5" i="49"/>
  <c r="G6" i="50"/>
  <c r="O18" i="4"/>
  <c r="F18" i="1"/>
  <c r="E4" i="1"/>
  <c r="G4" i="1" s="1"/>
  <c r="D26" i="49" s="1"/>
  <c r="E7" i="1"/>
  <c r="G7" i="1" s="1"/>
  <c r="D28" i="49" s="1"/>
  <c r="E8" i="1"/>
  <c r="G8" i="1" s="1"/>
  <c r="D29" i="49" s="1"/>
  <c r="E9" i="1"/>
  <c r="G9" i="1" s="1"/>
  <c r="D30" i="49" s="1"/>
  <c r="E10" i="1"/>
  <c r="G10" i="1" s="1"/>
  <c r="D31" i="49" s="1"/>
  <c r="E11" i="1"/>
  <c r="G11" i="1" s="1"/>
  <c r="D32" i="49" s="1"/>
  <c r="E12" i="1"/>
  <c r="G12" i="1" s="1"/>
  <c r="D33" i="49" s="1"/>
  <c r="E13" i="1"/>
  <c r="G13" i="1" s="1"/>
  <c r="D34" i="49" s="1"/>
  <c r="E14" i="1"/>
  <c r="G14" i="1" s="1"/>
  <c r="D35" i="49" s="1"/>
  <c r="E15" i="1"/>
  <c r="G15" i="1" s="1"/>
  <c r="D36" i="49" s="1"/>
  <c r="E16" i="1"/>
  <c r="G16" i="1" s="1"/>
  <c r="D37" i="49" s="1"/>
  <c r="E17" i="1"/>
  <c r="G17" i="1" s="1"/>
  <c r="D38" i="49" s="1"/>
  <c r="E3" i="1"/>
  <c r="G3" i="1" s="1"/>
  <c r="G19" i="50" l="1"/>
  <c r="D25" i="49"/>
  <c r="D35" i="2"/>
  <c r="F18" i="49"/>
  <c r="D39" i="49"/>
  <c r="D7" i="9"/>
  <c r="R5" i="4"/>
  <c r="S5" i="4" s="1"/>
  <c r="G57" i="2" s="1"/>
  <c r="I5" i="14"/>
  <c r="P5" i="14"/>
  <c r="D4" i="49"/>
  <c r="D5" i="50"/>
  <c r="F5" i="50" s="1"/>
  <c r="I19" i="14"/>
  <c r="P19" i="14"/>
  <c r="D18" i="49"/>
  <c r="D19" i="50"/>
  <c r="F19" i="50" s="1"/>
  <c r="I18" i="14"/>
  <c r="P18" i="14"/>
  <c r="D17" i="49"/>
  <c r="D18" i="50"/>
  <c r="F18" i="50" s="1"/>
  <c r="I17" i="14"/>
  <c r="P17" i="14"/>
  <c r="D16" i="49"/>
  <c r="D17" i="50"/>
  <c r="F17" i="50" s="1"/>
  <c r="I16" i="14"/>
  <c r="P16" i="14"/>
  <c r="D15" i="49"/>
  <c r="D16" i="50"/>
  <c r="I15" i="14"/>
  <c r="P15" i="14"/>
  <c r="D14" i="49"/>
  <c r="D15" i="50"/>
  <c r="I14" i="14"/>
  <c r="P14" i="14"/>
  <c r="D13" i="49"/>
  <c r="D14" i="50"/>
  <c r="I13" i="14"/>
  <c r="P13" i="14"/>
  <c r="D12" i="49"/>
  <c r="D13" i="50"/>
  <c r="I12" i="14"/>
  <c r="P12" i="14"/>
  <c r="D11" i="49"/>
  <c r="D12" i="50"/>
  <c r="F12" i="50" s="1"/>
  <c r="I11" i="14"/>
  <c r="P11" i="14"/>
  <c r="D10" i="49"/>
  <c r="D11" i="50"/>
  <c r="F11" i="50" s="1"/>
  <c r="I10" i="14"/>
  <c r="P10" i="14"/>
  <c r="D9" i="49"/>
  <c r="D10" i="50"/>
  <c r="F10" i="50" s="1"/>
  <c r="I9" i="14"/>
  <c r="P9" i="14"/>
  <c r="D8" i="49"/>
  <c r="D9" i="50"/>
  <c r="I6" i="14"/>
  <c r="P6" i="14"/>
  <c r="D5" i="49"/>
  <c r="D6" i="50"/>
  <c r="F6" i="50" s="1"/>
  <c r="L7" i="50"/>
  <c r="I7" i="50"/>
  <c r="K6" i="49"/>
  <c r="H6" i="49"/>
  <c r="I3" i="1"/>
  <c r="G18" i="1"/>
  <c r="I17" i="1"/>
  <c r="D49" i="2"/>
  <c r="I16" i="1"/>
  <c r="D48" i="2"/>
  <c r="I15" i="1"/>
  <c r="D47" i="2"/>
  <c r="I14" i="1"/>
  <c r="D46" i="2"/>
  <c r="I13" i="1"/>
  <c r="D45" i="2"/>
  <c r="I12" i="1"/>
  <c r="D44" i="2"/>
  <c r="I11" i="1"/>
  <c r="D43" i="2"/>
  <c r="I10" i="1"/>
  <c r="D42" i="2"/>
  <c r="I9" i="1"/>
  <c r="D41" i="2"/>
  <c r="I8" i="1"/>
  <c r="D40" i="2"/>
  <c r="I7" i="1"/>
  <c r="D39" i="2"/>
  <c r="I4" i="1"/>
  <c r="D36" i="2"/>
  <c r="C18" i="1"/>
  <c r="G28" i="50" l="1"/>
  <c r="I28" i="50" s="1"/>
  <c r="K18" i="49"/>
  <c r="D21" i="49"/>
  <c r="F27" i="49"/>
  <c r="H27" i="49" s="1"/>
  <c r="S9" i="50"/>
  <c r="F9" i="50"/>
  <c r="S13" i="50"/>
  <c r="U13" i="50" s="1"/>
  <c r="F13" i="50"/>
  <c r="S14" i="50"/>
  <c r="F14" i="50"/>
  <c r="S15" i="50"/>
  <c r="F15" i="50"/>
  <c r="S16" i="50"/>
  <c r="F16" i="50"/>
  <c r="J57" i="2"/>
  <c r="L57" i="2" s="1"/>
  <c r="H57" i="2"/>
  <c r="D7" i="47"/>
  <c r="J6" i="56" s="1"/>
  <c r="Q7" i="14"/>
  <c r="G6" i="49"/>
  <c r="H7" i="50"/>
  <c r="D45" i="49"/>
  <c r="D47" i="49"/>
  <c r="D48" i="49"/>
  <c r="D49" i="49"/>
  <c r="D50" i="49"/>
  <c r="D51" i="49"/>
  <c r="D52" i="49"/>
  <c r="D53" i="49"/>
  <c r="D54" i="49"/>
  <c r="D55" i="49"/>
  <c r="D56" i="49"/>
  <c r="D57" i="49"/>
  <c r="D44" i="49"/>
  <c r="R8" i="49"/>
  <c r="V8" i="49" s="1"/>
  <c r="R12" i="49"/>
  <c r="V12" i="49" s="1"/>
  <c r="R13" i="49"/>
  <c r="V13" i="49" s="1"/>
  <c r="R14" i="49"/>
  <c r="T14" i="49" s="1"/>
  <c r="R15" i="49"/>
  <c r="V15" i="49" s="1"/>
  <c r="D56" i="2"/>
  <c r="F56" i="2" s="1"/>
  <c r="P26" i="14"/>
  <c r="I26" i="14"/>
  <c r="R26" i="49"/>
  <c r="D27" i="50"/>
  <c r="F27" i="50" s="1"/>
  <c r="K4" i="1"/>
  <c r="D58" i="2"/>
  <c r="F58" i="2" s="1"/>
  <c r="P28" i="14"/>
  <c r="I28" i="14"/>
  <c r="R28" i="49"/>
  <c r="D29" i="50"/>
  <c r="F29" i="50" s="1"/>
  <c r="K7" i="1"/>
  <c r="D59" i="2"/>
  <c r="F59" i="2" s="1"/>
  <c r="P29" i="14"/>
  <c r="I29" i="14"/>
  <c r="R29" i="49"/>
  <c r="D30" i="50"/>
  <c r="F30" i="50" s="1"/>
  <c r="K8" i="1"/>
  <c r="D60" i="2"/>
  <c r="F60" i="2" s="1"/>
  <c r="P30" i="14"/>
  <c r="I30" i="14"/>
  <c r="R30" i="49"/>
  <c r="D31" i="50"/>
  <c r="F31" i="50" s="1"/>
  <c r="K9" i="1"/>
  <c r="D61" i="2"/>
  <c r="F61" i="2" s="1"/>
  <c r="P31" i="14"/>
  <c r="I31" i="14"/>
  <c r="R31" i="49"/>
  <c r="D32" i="50"/>
  <c r="F32" i="50" s="1"/>
  <c r="K10" i="1"/>
  <c r="D62" i="2"/>
  <c r="F62" i="2" s="1"/>
  <c r="P32" i="14"/>
  <c r="I32" i="14"/>
  <c r="R32" i="49"/>
  <c r="D33" i="50"/>
  <c r="F33" i="50" s="1"/>
  <c r="K11" i="1"/>
  <c r="D63" i="2"/>
  <c r="F63" i="2" s="1"/>
  <c r="P33" i="14"/>
  <c r="I33" i="14"/>
  <c r="R33" i="49"/>
  <c r="D34" i="50"/>
  <c r="F34" i="50" s="1"/>
  <c r="K12" i="1"/>
  <c r="D64" i="2"/>
  <c r="F64" i="2" s="1"/>
  <c r="P34" i="14"/>
  <c r="I34" i="14"/>
  <c r="R34" i="49"/>
  <c r="D35" i="50"/>
  <c r="F35" i="50" s="1"/>
  <c r="K13" i="1"/>
  <c r="D65" i="2"/>
  <c r="F65" i="2" s="1"/>
  <c r="P35" i="14"/>
  <c r="I35" i="14"/>
  <c r="R35" i="49"/>
  <c r="D36" i="50"/>
  <c r="F36" i="50" s="1"/>
  <c r="K14" i="1"/>
  <c r="D66" i="2"/>
  <c r="P36" i="14"/>
  <c r="I36" i="14"/>
  <c r="R36" i="49"/>
  <c r="D37" i="50"/>
  <c r="F37" i="50" s="1"/>
  <c r="K15" i="1"/>
  <c r="D67" i="2"/>
  <c r="F67" i="2" s="1"/>
  <c r="P37" i="14"/>
  <c r="I37" i="14"/>
  <c r="R37" i="49"/>
  <c r="D38" i="50"/>
  <c r="F38" i="50" s="1"/>
  <c r="K16" i="1"/>
  <c r="D68" i="2"/>
  <c r="F68" i="2" s="1"/>
  <c r="P38" i="14"/>
  <c r="I38" i="14"/>
  <c r="R38" i="49"/>
  <c r="D39" i="50"/>
  <c r="F39" i="50" s="1"/>
  <c r="K17" i="1"/>
  <c r="P25" i="14"/>
  <c r="I25" i="14"/>
  <c r="D26" i="50"/>
  <c r="F26" i="50" s="1"/>
  <c r="K3" i="1"/>
  <c r="L28" i="50"/>
  <c r="S6" i="50"/>
  <c r="L6" i="50"/>
  <c r="I6" i="50"/>
  <c r="R5" i="49"/>
  <c r="K5" i="49"/>
  <c r="H5" i="49"/>
  <c r="U9" i="50"/>
  <c r="S10" i="50"/>
  <c r="L10" i="50"/>
  <c r="I10" i="50"/>
  <c r="R9" i="49"/>
  <c r="K9" i="49"/>
  <c r="H9" i="49"/>
  <c r="S11" i="50"/>
  <c r="L11" i="50"/>
  <c r="I11" i="50"/>
  <c r="R10" i="49"/>
  <c r="K10" i="49"/>
  <c r="H10" i="49"/>
  <c r="S12" i="50"/>
  <c r="L12" i="50"/>
  <c r="I12" i="50"/>
  <c r="R11" i="49"/>
  <c r="K11" i="49"/>
  <c r="H11" i="49"/>
  <c r="T13" i="49"/>
  <c r="U15" i="50"/>
  <c r="V14" i="49"/>
  <c r="U16" i="50"/>
  <c r="S36" i="50" s="1"/>
  <c r="S17" i="50"/>
  <c r="L17" i="50"/>
  <c r="I17" i="50"/>
  <c r="R16" i="49"/>
  <c r="K16" i="49"/>
  <c r="H16" i="49"/>
  <c r="S18" i="50"/>
  <c r="L18" i="50"/>
  <c r="I18" i="50"/>
  <c r="R17" i="49"/>
  <c r="K17" i="49"/>
  <c r="H17" i="49"/>
  <c r="S19" i="50"/>
  <c r="L19" i="50"/>
  <c r="I19" i="50"/>
  <c r="R18" i="49"/>
  <c r="H18" i="49"/>
  <c r="D20" i="50"/>
  <c r="S5" i="50"/>
  <c r="D19" i="49"/>
  <c r="R4" i="49"/>
  <c r="P20" i="14"/>
  <c r="I20" i="14"/>
  <c r="F66" i="2"/>
  <c r="J36" i="2"/>
  <c r="L36" i="2" s="1"/>
  <c r="E6" i="9" s="1"/>
  <c r="F36" i="2"/>
  <c r="H36" i="2" s="1"/>
  <c r="F39" i="2"/>
  <c r="J40" i="2"/>
  <c r="L40" i="2" s="1"/>
  <c r="E10" i="9" s="1"/>
  <c r="F40" i="2"/>
  <c r="H40" i="2" s="1"/>
  <c r="J41" i="2"/>
  <c r="E11" i="9" s="1"/>
  <c r="F41" i="2"/>
  <c r="H41" i="2" s="1"/>
  <c r="J42" i="2"/>
  <c r="L42" i="2" s="1"/>
  <c r="E12" i="9" s="1"/>
  <c r="F42" i="2"/>
  <c r="H42" i="2" s="1"/>
  <c r="F43" i="2"/>
  <c r="F44" i="2"/>
  <c r="F45" i="2"/>
  <c r="F46" i="2"/>
  <c r="J47" i="2"/>
  <c r="L47" i="2" s="1"/>
  <c r="E17" i="9" s="1"/>
  <c r="F47" i="2"/>
  <c r="H47" i="2" s="1"/>
  <c r="J48" i="2"/>
  <c r="L48" i="2" s="1"/>
  <c r="E18" i="9" s="1"/>
  <c r="F48" i="2"/>
  <c r="H48" i="2" s="1"/>
  <c r="J49" i="2"/>
  <c r="L49" i="2" s="1"/>
  <c r="E19" i="9" s="1"/>
  <c r="F49" i="2"/>
  <c r="H49" i="2" s="1"/>
  <c r="D50" i="2"/>
  <c r="F35" i="2"/>
  <c r="D55" i="2"/>
  <c r="I18" i="1"/>
  <c r="F20" i="50" l="1"/>
  <c r="W13" i="49"/>
  <c r="X13" i="49" s="1"/>
  <c r="T15" i="49"/>
  <c r="W15" i="49" s="1"/>
  <c r="X15" i="49" s="1"/>
  <c r="U14" i="50"/>
  <c r="S34" i="50" s="1"/>
  <c r="T8" i="49"/>
  <c r="W8" i="49" s="1"/>
  <c r="X8" i="49" s="1"/>
  <c r="F40" i="50"/>
  <c r="T12" i="49"/>
  <c r="W12" i="49" s="1"/>
  <c r="X12" i="49" s="1"/>
  <c r="W14" i="49"/>
  <c r="N7" i="50"/>
  <c r="O7" i="50" s="1"/>
  <c r="Q7" i="50" s="1"/>
  <c r="J7" i="50"/>
  <c r="M6" i="49"/>
  <c r="I6" i="49"/>
  <c r="F7" i="9"/>
  <c r="T5" i="4"/>
  <c r="U5" i="4" s="1"/>
  <c r="S35" i="50"/>
  <c r="U35" i="50" s="1"/>
  <c r="S55" i="50" s="1"/>
  <c r="S33" i="50"/>
  <c r="U33" i="50" s="1"/>
  <c r="S53" i="50" s="1"/>
  <c r="S29" i="50"/>
  <c r="W29" i="50" s="1"/>
  <c r="P39" i="14"/>
  <c r="I39" i="14"/>
  <c r="R19" i="49"/>
  <c r="V4" i="49"/>
  <c r="T4" i="49"/>
  <c r="S20" i="50"/>
  <c r="W5" i="50"/>
  <c r="U5" i="50"/>
  <c r="V18" i="49"/>
  <c r="T18" i="49"/>
  <c r="U19" i="50"/>
  <c r="V17" i="49"/>
  <c r="T17" i="49"/>
  <c r="U18" i="50"/>
  <c r="V16" i="49"/>
  <c r="T16" i="49"/>
  <c r="U17" i="50"/>
  <c r="X14" i="49"/>
  <c r="V11" i="49"/>
  <c r="T11" i="49"/>
  <c r="U12" i="50"/>
  <c r="V10" i="49"/>
  <c r="T10" i="49"/>
  <c r="W11" i="50"/>
  <c r="U11" i="50"/>
  <c r="V9" i="49"/>
  <c r="T9" i="49"/>
  <c r="W10" i="50"/>
  <c r="U10" i="50"/>
  <c r="S30" i="50" s="1"/>
  <c r="W30" i="50" s="1"/>
  <c r="V5" i="49"/>
  <c r="T5" i="49"/>
  <c r="W6" i="50"/>
  <c r="U6" i="50"/>
  <c r="P44" i="14"/>
  <c r="D46" i="50"/>
  <c r="F46" i="50" s="1"/>
  <c r="K18" i="1"/>
  <c r="D74" i="2"/>
  <c r="D40" i="50"/>
  <c r="R25" i="49"/>
  <c r="P57" i="14"/>
  <c r="I57" i="14" s="1"/>
  <c r="R57" i="49"/>
  <c r="D59" i="50"/>
  <c r="F59" i="50" s="1"/>
  <c r="D88" i="2"/>
  <c r="F88" i="2" s="1"/>
  <c r="V38" i="49"/>
  <c r="T38" i="49"/>
  <c r="P56" i="14"/>
  <c r="I56" i="14" s="1"/>
  <c r="R56" i="49"/>
  <c r="D58" i="50"/>
  <c r="F58" i="50" s="1"/>
  <c r="D87" i="2"/>
  <c r="F87" i="2" s="1"/>
  <c r="V37" i="49"/>
  <c r="T37" i="49"/>
  <c r="P55" i="14"/>
  <c r="I55" i="14" s="1"/>
  <c r="R55" i="49"/>
  <c r="D57" i="50"/>
  <c r="F57" i="50" s="1"/>
  <c r="D86" i="2"/>
  <c r="F86" i="2" s="1"/>
  <c r="V36" i="49"/>
  <c r="T36" i="49"/>
  <c r="P54" i="14"/>
  <c r="I54" i="14" s="1"/>
  <c r="R54" i="49"/>
  <c r="D56" i="50"/>
  <c r="F56" i="50" s="1"/>
  <c r="D85" i="2"/>
  <c r="F85" i="2" s="1"/>
  <c r="W36" i="50"/>
  <c r="U36" i="50"/>
  <c r="V35" i="49"/>
  <c r="T35" i="49"/>
  <c r="P53" i="14"/>
  <c r="I53" i="14" s="1"/>
  <c r="R53" i="49"/>
  <c r="D55" i="50"/>
  <c r="F55" i="50" s="1"/>
  <c r="D84" i="2"/>
  <c r="F84" i="2" s="1"/>
  <c r="W35" i="50"/>
  <c r="X35" i="50" s="1"/>
  <c r="V34" i="49"/>
  <c r="T34" i="49"/>
  <c r="W34" i="49" s="1"/>
  <c r="P52" i="14"/>
  <c r="I52" i="14" s="1"/>
  <c r="R52" i="49"/>
  <c r="D54" i="50"/>
  <c r="F54" i="50" s="1"/>
  <c r="D83" i="2"/>
  <c r="F83" i="2" s="1"/>
  <c r="W34" i="50"/>
  <c r="U34" i="50"/>
  <c r="S54" i="50" s="1"/>
  <c r="V33" i="49"/>
  <c r="T33" i="49"/>
  <c r="P51" i="14"/>
  <c r="I51" i="14" s="1"/>
  <c r="R51" i="49"/>
  <c r="D53" i="50"/>
  <c r="F53" i="50" s="1"/>
  <c r="D82" i="2"/>
  <c r="F82" i="2" s="1"/>
  <c r="W33" i="50"/>
  <c r="X33" i="50" s="1"/>
  <c r="V32" i="49"/>
  <c r="T32" i="49"/>
  <c r="P50" i="14"/>
  <c r="I50" i="14" s="1"/>
  <c r="R50" i="49"/>
  <c r="D52" i="50"/>
  <c r="F52" i="50" s="1"/>
  <c r="D81" i="2"/>
  <c r="F81" i="2" s="1"/>
  <c r="V31" i="49"/>
  <c r="T31" i="49"/>
  <c r="P49" i="14"/>
  <c r="I49" i="14" s="1"/>
  <c r="R49" i="49"/>
  <c r="D51" i="50"/>
  <c r="F51" i="50" s="1"/>
  <c r="D80" i="2"/>
  <c r="F80" i="2" s="1"/>
  <c r="V30" i="49"/>
  <c r="T30" i="49"/>
  <c r="P48" i="14"/>
  <c r="I48" i="14" s="1"/>
  <c r="R48" i="49"/>
  <c r="D50" i="50"/>
  <c r="F50" i="50" s="1"/>
  <c r="D79" i="2"/>
  <c r="F79" i="2" s="1"/>
  <c r="U30" i="50"/>
  <c r="S50" i="50" s="1"/>
  <c r="V29" i="49"/>
  <c r="T29" i="49"/>
  <c r="P47" i="14"/>
  <c r="I47" i="14" s="1"/>
  <c r="R47" i="49"/>
  <c r="D49" i="50"/>
  <c r="F49" i="50" s="1"/>
  <c r="D78" i="2"/>
  <c r="F78" i="2" s="1"/>
  <c r="U29" i="50"/>
  <c r="S49" i="50" s="1"/>
  <c r="V28" i="49"/>
  <c r="T28" i="49"/>
  <c r="P45" i="14"/>
  <c r="I45" i="14" s="1"/>
  <c r="R45" i="49"/>
  <c r="D47" i="50"/>
  <c r="F47" i="50" s="1"/>
  <c r="D75" i="2"/>
  <c r="F75" i="2" s="1"/>
  <c r="V26" i="49"/>
  <c r="T26" i="49"/>
  <c r="D19" i="9"/>
  <c r="D19" i="47" s="1"/>
  <c r="J18" i="56" s="1"/>
  <c r="R17" i="4"/>
  <c r="S17" i="4" s="1"/>
  <c r="G68" i="2" s="1"/>
  <c r="D18" i="9"/>
  <c r="D18" i="47" s="1"/>
  <c r="J17" i="56" s="1"/>
  <c r="R16" i="4"/>
  <c r="S16" i="4" s="1"/>
  <c r="G67" i="2" s="1"/>
  <c r="D17" i="9"/>
  <c r="D17" i="47" s="1"/>
  <c r="J16" i="56" s="1"/>
  <c r="R15" i="4"/>
  <c r="S15" i="4" s="1"/>
  <c r="G66" i="2" s="1"/>
  <c r="D12" i="9"/>
  <c r="D12" i="47" s="1"/>
  <c r="J11" i="56" s="1"/>
  <c r="R10" i="4"/>
  <c r="S10" i="4" s="1"/>
  <c r="G61" i="2" s="1"/>
  <c r="D11" i="9"/>
  <c r="D11" i="47" s="1"/>
  <c r="J10" i="56" s="1"/>
  <c r="R9" i="4"/>
  <c r="S9" i="4" s="1"/>
  <c r="G60" i="2" s="1"/>
  <c r="D10" i="9"/>
  <c r="D10" i="47" s="1"/>
  <c r="J9" i="56" s="1"/>
  <c r="R8" i="4"/>
  <c r="S8" i="4" s="1"/>
  <c r="G59" i="2" s="1"/>
  <c r="D6" i="9"/>
  <c r="D6" i="47" s="1"/>
  <c r="J5" i="56" s="1"/>
  <c r="R4" i="4"/>
  <c r="S4" i="4" s="1"/>
  <c r="G56" i="2" s="1"/>
  <c r="D69" i="2"/>
  <c r="F55" i="2"/>
  <c r="F50" i="2"/>
  <c r="W4" i="49" l="1"/>
  <c r="W5" i="49"/>
  <c r="X10" i="50"/>
  <c r="X5" i="50"/>
  <c r="W31" i="49"/>
  <c r="W38" i="49"/>
  <c r="W16" i="49"/>
  <c r="X16" i="49" s="1"/>
  <c r="W29" i="49"/>
  <c r="W11" i="49"/>
  <c r="X29" i="50"/>
  <c r="Y29" i="50" s="1"/>
  <c r="R28" i="14" s="1"/>
  <c r="W37" i="49"/>
  <c r="W35" i="49"/>
  <c r="X35" i="49" s="1"/>
  <c r="W30" i="49"/>
  <c r="X30" i="49" s="1"/>
  <c r="W10" i="49"/>
  <c r="W18" i="49"/>
  <c r="W9" i="49"/>
  <c r="W17" i="49"/>
  <c r="X17" i="49" s="1"/>
  <c r="F60" i="50"/>
  <c r="G76" i="2"/>
  <c r="F46" i="49"/>
  <c r="G48" i="50"/>
  <c r="D32" i="47"/>
  <c r="J26" i="56" s="1"/>
  <c r="K26" i="56" s="1"/>
  <c r="Q27" i="14"/>
  <c r="G27" i="49"/>
  <c r="I27" i="49" s="1"/>
  <c r="H28" i="50"/>
  <c r="K27" i="49"/>
  <c r="N6" i="49"/>
  <c r="P6" i="49" s="1"/>
  <c r="C6" i="11" s="1"/>
  <c r="X36" i="50"/>
  <c r="S56" i="50"/>
  <c r="X6" i="50"/>
  <c r="S27" i="50"/>
  <c r="X11" i="50"/>
  <c r="Y11" i="50" s="1"/>
  <c r="S31" i="50"/>
  <c r="S32" i="50"/>
  <c r="S37" i="50"/>
  <c r="S38" i="50"/>
  <c r="S39" i="50"/>
  <c r="S26" i="50"/>
  <c r="W33" i="49"/>
  <c r="X33" i="49" s="1"/>
  <c r="W26" i="49"/>
  <c r="X26" i="49" s="1"/>
  <c r="X34" i="50"/>
  <c r="Y34" i="50" s="1"/>
  <c r="R33" i="14" s="1"/>
  <c r="W36" i="49"/>
  <c r="X36" i="49" s="1"/>
  <c r="W32" i="49"/>
  <c r="X32" i="49" s="1"/>
  <c r="W28" i="49"/>
  <c r="X28" i="49" s="1"/>
  <c r="X30" i="50"/>
  <c r="Y30" i="50" s="1"/>
  <c r="R29" i="14" s="1"/>
  <c r="V45" i="49"/>
  <c r="T45" i="49"/>
  <c r="W49" i="50"/>
  <c r="U49" i="50"/>
  <c r="V47" i="49"/>
  <c r="T47" i="49"/>
  <c r="X29" i="49"/>
  <c r="W50" i="50"/>
  <c r="U50" i="50"/>
  <c r="V48" i="49"/>
  <c r="T48" i="49"/>
  <c r="V49" i="49"/>
  <c r="T49" i="49"/>
  <c r="X31" i="49"/>
  <c r="V50" i="49"/>
  <c r="T50" i="49"/>
  <c r="Y33" i="50"/>
  <c r="R32" i="14" s="1"/>
  <c r="W53" i="50"/>
  <c r="U53" i="50"/>
  <c r="V51" i="49"/>
  <c r="T51" i="49"/>
  <c r="W54" i="50"/>
  <c r="U54" i="50"/>
  <c r="V52" i="49"/>
  <c r="T52" i="49"/>
  <c r="X34" i="49"/>
  <c r="Y35" i="50"/>
  <c r="R34" i="14" s="1"/>
  <c r="W55" i="50"/>
  <c r="U55" i="50"/>
  <c r="V53" i="49"/>
  <c r="T53" i="49"/>
  <c r="Y36" i="50"/>
  <c r="R35" i="14" s="1"/>
  <c r="W56" i="50"/>
  <c r="U56" i="50"/>
  <c r="V54" i="49"/>
  <c r="T54" i="49"/>
  <c r="V55" i="49"/>
  <c r="T55" i="49"/>
  <c r="X37" i="49"/>
  <c r="V56" i="49"/>
  <c r="T56" i="49"/>
  <c r="X38" i="49"/>
  <c r="V57" i="49"/>
  <c r="T57" i="49"/>
  <c r="R39" i="49"/>
  <c r="V25" i="49"/>
  <c r="T25" i="49"/>
  <c r="T39" i="49" s="1"/>
  <c r="D89" i="2"/>
  <c r="F74" i="2"/>
  <c r="F89" i="2" s="1"/>
  <c r="D60" i="50"/>
  <c r="D58" i="49"/>
  <c r="R44" i="49"/>
  <c r="I44" i="14"/>
  <c r="I58" i="14" s="1"/>
  <c r="P58" i="14"/>
  <c r="Y6" i="50"/>
  <c r="X5" i="49"/>
  <c r="Y10" i="50"/>
  <c r="X9" i="49"/>
  <c r="X10" i="49"/>
  <c r="X11" i="49"/>
  <c r="X18" i="49"/>
  <c r="U20" i="50"/>
  <c r="Y5" i="50"/>
  <c r="T19" i="49"/>
  <c r="V19" i="49"/>
  <c r="X4" i="49"/>
  <c r="F26" i="49"/>
  <c r="G27" i="50"/>
  <c r="Q6" i="14"/>
  <c r="G5" i="49"/>
  <c r="M5" i="49" s="1"/>
  <c r="K26" i="49" s="1"/>
  <c r="H6" i="50"/>
  <c r="J56" i="2"/>
  <c r="L56" i="2" s="1"/>
  <c r="H56" i="2"/>
  <c r="F29" i="49"/>
  <c r="G30" i="50"/>
  <c r="Q10" i="14"/>
  <c r="G9" i="49"/>
  <c r="M9" i="49" s="1"/>
  <c r="K29" i="49" s="1"/>
  <c r="H10" i="50"/>
  <c r="J59" i="2"/>
  <c r="L59" i="2" s="1"/>
  <c r="H59" i="2"/>
  <c r="F30" i="49"/>
  <c r="G31" i="50"/>
  <c r="Q11" i="14"/>
  <c r="G10" i="49"/>
  <c r="M10" i="49" s="1"/>
  <c r="K30" i="49" s="1"/>
  <c r="H11" i="50"/>
  <c r="L60" i="2"/>
  <c r="J80" i="2" s="1"/>
  <c r="H60" i="2"/>
  <c r="F31" i="49"/>
  <c r="G32" i="50"/>
  <c r="Q12" i="14"/>
  <c r="G11" i="49"/>
  <c r="M11" i="49" s="1"/>
  <c r="K31" i="49" s="1"/>
  <c r="H12" i="50"/>
  <c r="J61" i="2"/>
  <c r="L61" i="2" s="1"/>
  <c r="H61" i="2"/>
  <c r="F36" i="49"/>
  <c r="G37" i="50"/>
  <c r="Q17" i="14"/>
  <c r="G16" i="49"/>
  <c r="M16" i="49" s="1"/>
  <c r="K36" i="49" s="1"/>
  <c r="H17" i="50"/>
  <c r="J66" i="2"/>
  <c r="L66" i="2" s="1"/>
  <c r="H66" i="2"/>
  <c r="F37" i="49"/>
  <c r="G38" i="50"/>
  <c r="Q18" i="14"/>
  <c r="G17" i="49"/>
  <c r="M17" i="49" s="1"/>
  <c r="K37" i="49" s="1"/>
  <c r="H18" i="50"/>
  <c r="J67" i="2"/>
  <c r="L67" i="2" s="1"/>
  <c r="H67" i="2"/>
  <c r="F38" i="49"/>
  <c r="G39" i="50"/>
  <c r="Q19" i="14"/>
  <c r="G18" i="49"/>
  <c r="M18" i="49" s="1"/>
  <c r="K38" i="49" s="1"/>
  <c r="H19" i="50"/>
  <c r="J68" i="2"/>
  <c r="L68" i="2" s="1"/>
  <c r="H68" i="2"/>
  <c r="F69" i="2"/>
  <c r="C10" i="13" l="1"/>
  <c r="C6" i="13"/>
  <c r="C11" i="13"/>
  <c r="W57" i="49"/>
  <c r="W49" i="49"/>
  <c r="S40" i="50"/>
  <c r="M27" i="49"/>
  <c r="X56" i="50"/>
  <c r="W54" i="49"/>
  <c r="X49" i="50"/>
  <c r="H38" i="49"/>
  <c r="H37" i="49"/>
  <c r="H36" i="49"/>
  <c r="H31" i="49"/>
  <c r="H30" i="49"/>
  <c r="H29" i="49"/>
  <c r="H26" i="49"/>
  <c r="H46" i="49"/>
  <c r="X55" i="50"/>
  <c r="W19" i="49"/>
  <c r="W53" i="49"/>
  <c r="X53" i="49" s="1"/>
  <c r="U26" i="50"/>
  <c r="S46" i="50" s="1"/>
  <c r="W26" i="50"/>
  <c r="X26" i="50" s="1"/>
  <c r="W55" i="49"/>
  <c r="X55" i="49" s="1"/>
  <c r="X53" i="50"/>
  <c r="E7" i="47"/>
  <c r="P6" i="56" s="1"/>
  <c r="Q6" i="56" s="1"/>
  <c r="S7" i="14"/>
  <c r="N28" i="50"/>
  <c r="O28" i="50" s="1"/>
  <c r="Q28" i="50" s="1"/>
  <c r="J28" i="50"/>
  <c r="L48" i="50"/>
  <c r="I48" i="50"/>
  <c r="J76" i="2"/>
  <c r="L76" i="2" s="1"/>
  <c r="H76" i="2"/>
  <c r="W39" i="50"/>
  <c r="U39" i="50"/>
  <c r="S59" i="50" s="1"/>
  <c r="W38" i="50"/>
  <c r="U38" i="50"/>
  <c r="W37" i="50"/>
  <c r="U37" i="50"/>
  <c r="W32" i="50"/>
  <c r="U32" i="50"/>
  <c r="W31" i="50"/>
  <c r="U31" i="50"/>
  <c r="W27" i="50"/>
  <c r="U27" i="50"/>
  <c r="W25" i="49"/>
  <c r="W39" i="49" s="1"/>
  <c r="W56" i="49"/>
  <c r="X56" i="49" s="1"/>
  <c r="W51" i="49"/>
  <c r="W50" i="49"/>
  <c r="X50" i="49" s="1"/>
  <c r="W48" i="49"/>
  <c r="X48" i="49" s="1"/>
  <c r="W47" i="49"/>
  <c r="X47" i="49" s="1"/>
  <c r="W45" i="49"/>
  <c r="X45" i="49" s="1"/>
  <c r="X54" i="50"/>
  <c r="Y54" i="50" s="1"/>
  <c r="W52" i="49"/>
  <c r="X52" i="49" s="1"/>
  <c r="X50" i="50"/>
  <c r="Y50" i="50" s="1"/>
  <c r="X19" i="49"/>
  <c r="C5" i="13"/>
  <c r="G11" i="47"/>
  <c r="AC10" i="56" s="1"/>
  <c r="AD10" i="56" s="1"/>
  <c r="R11" i="14"/>
  <c r="G10" i="47"/>
  <c r="AC9" i="56" s="1"/>
  <c r="AD9" i="56" s="1"/>
  <c r="R10" i="14"/>
  <c r="G6" i="47"/>
  <c r="AC5" i="56" s="1"/>
  <c r="AD5" i="56" s="1"/>
  <c r="R6" i="14"/>
  <c r="R58" i="49"/>
  <c r="V44" i="49"/>
  <c r="T44" i="49"/>
  <c r="T58" i="49" s="1"/>
  <c r="V39" i="49"/>
  <c r="X57" i="49"/>
  <c r="X54" i="49"/>
  <c r="Y56" i="50"/>
  <c r="D16" i="13"/>
  <c r="G40" i="47" s="1"/>
  <c r="AC35" i="56" s="1"/>
  <c r="AD35" i="56" s="1"/>
  <c r="Y55" i="50"/>
  <c r="D15" i="13"/>
  <c r="G39" i="47" s="1"/>
  <c r="AC34" i="56" s="1"/>
  <c r="AD34" i="56" s="1"/>
  <c r="D14" i="13"/>
  <c r="G38" i="47" s="1"/>
  <c r="AC33" i="56" s="1"/>
  <c r="AD33" i="56" s="1"/>
  <c r="X51" i="49"/>
  <c r="Y53" i="50"/>
  <c r="D13" i="13"/>
  <c r="G37" i="47" s="1"/>
  <c r="AC32" i="56" s="1"/>
  <c r="AD32" i="56" s="1"/>
  <c r="X49" i="49"/>
  <c r="D10" i="13"/>
  <c r="G34" i="47" s="1"/>
  <c r="AC29" i="56" s="1"/>
  <c r="AD29" i="56" s="1"/>
  <c r="Y49" i="50"/>
  <c r="D9" i="13"/>
  <c r="G33" i="47" s="1"/>
  <c r="AC28" i="56" s="1"/>
  <c r="AD28" i="56" s="1"/>
  <c r="F19" i="9"/>
  <c r="T17" i="4"/>
  <c r="U17" i="4" s="1"/>
  <c r="N19" i="50"/>
  <c r="O19" i="50" s="1"/>
  <c r="Q19" i="50" s="1"/>
  <c r="J19" i="50"/>
  <c r="N18" i="49"/>
  <c r="P18" i="49" s="1"/>
  <c r="I18" i="49"/>
  <c r="L39" i="50"/>
  <c r="I39" i="50"/>
  <c r="F18" i="9"/>
  <c r="T16" i="4"/>
  <c r="U16" i="4" s="1"/>
  <c r="N18" i="50"/>
  <c r="O18" i="50" s="1"/>
  <c r="Q18" i="50" s="1"/>
  <c r="J18" i="50"/>
  <c r="N17" i="49"/>
  <c r="P17" i="49" s="1"/>
  <c r="I17" i="49"/>
  <c r="L38" i="50"/>
  <c r="I38" i="50"/>
  <c r="F17" i="9"/>
  <c r="T15" i="4"/>
  <c r="U15" i="4" s="1"/>
  <c r="N17" i="50"/>
  <c r="O17" i="50" s="1"/>
  <c r="Q17" i="50" s="1"/>
  <c r="J17" i="50"/>
  <c r="N16" i="49"/>
  <c r="P16" i="49" s="1"/>
  <c r="I16" i="49"/>
  <c r="L37" i="50"/>
  <c r="I37" i="50"/>
  <c r="F12" i="9"/>
  <c r="T10" i="4"/>
  <c r="U10" i="4" s="1"/>
  <c r="N12" i="50"/>
  <c r="O12" i="50" s="1"/>
  <c r="Q12" i="50" s="1"/>
  <c r="J12" i="50"/>
  <c r="N11" i="49"/>
  <c r="P11" i="49" s="1"/>
  <c r="I11" i="49"/>
  <c r="L32" i="50"/>
  <c r="I32" i="50"/>
  <c r="F11" i="9"/>
  <c r="T9" i="4"/>
  <c r="U9" i="4" s="1"/>
  <c r="N11" i="50"/>
  <c r="O11" i="50" s="1"/>
  <c r="Q11" i="50" s="1"/>
  <c r="J11" i="50"/>
  <c r="N10" i="49"/>
  <c r="P10" i="49" s="1"/>
  <c r="I10" i="49"/>
  <c r="L31" i="50"/>
  <c r="I31" i="50"/>
  <c r="F10" i="9"/>
  <c r="T8" i="4"/>
  <c r="U8" i="4" s="1"/>
  <c r="N10" i="50"/>
  <c r="O10" i="50" s="1"/>
  <c r="Q10" i="50" s="1"/>
  <c r="J10" i="50"/>
  <c r="N9" i="49"/>
  <c r="P9" i="49" s="1"/>
  <c r="I9" i="49"/>
  <c r="L30" i="50"/>
  <c r="I30" i="50"/>
  <c r="F6" i="9"/>
  <c r="T4" i="4"/>
  <c r="U4" i="4" s="1"/>
  <c r="N6" i="50"/>
  <c r="O6" i="50" s="1"/>
  <c r="Q6" i="50" s="1"/>
  <c r="J6" i="50"/>
  <c r="N5" i="49"/>
  <c r="P5" i="49" s="1"/>
  <c r="I5" i="49"/>
  <c r="L27" i="50"/>
  <c r="I27" i="50"/>
  <c r="W14" i="50" l="1"/>
  <c r="X14" i="50"/>
  <c r="Y14" i="50" s="1"/>
  <c r="W9" i="50"/>
  <c r="X9" i="50"/>
  <c r="W13" i="50"/>
  <c r="X13" i="50"/>
  <c r="Y13" i="50" s="1"/>
  <c r="X39" i="50"/>
  <c r="W40" i="50"/>
  <c r="X25" i="49"/>
  <c r="X39" i="49" s="1"/>
  <c r="W46" i="50"/>
  <c r="U46" i="50"/>
  <c r="G7" i="9"/>
  <c r="V5" i="4"/>
  <c r="K46" i="49"/>
  <c r="N27" i="49"/>
  <c r="P27" i="49" s="1"/>
  <c r="D6" i="11" s="1"/>
  <c r="S47" i="50"/>
  <c r="X27" i="50"/>
  <c r="U40" i="50"/>
  <c r="S51" i="50"/>
  <c r="X31" i="50"/>
  <c r="Y31" i="50" s="1"/>
  <c r="R30" i="14" s="1"/>
  <c r="S52" i="50"/>
  <c r="X32" i="50"/>
  <c r="Y32" i="50" s="1"/>
  <c r="R31" i="14" s="1"/>
  <c r="S57" i="50"/>
  <c r="X37" i="50"/>
  <c r="Y37" i="50" s="1"/>
  <c r="R36" i="14" s="1"/>
  <c r="S58" i="50"/>
  <c r="X38" i="50"/>
  <c r="Y38" i="50" s="1"/>
  <c r="R37" i="14" s="1"/>
  <c r="W59" i="50"/>
  <c r="U59" i="50"/>
  <c r="Y39" i="50"/>
  <c r="R38" i="14" s="1"/>
  <c r="X46" i="50"/>
  <c r="Y46" i="50" s="1"/>
  <c r="W44" i="49"/>
  <c r="W58" i="49" s="1"/>
  <c r="Y26" i="50"/>
  <c r="R47" i="14"/>
  <c r="E9" i="13"/>
  <c r="G56" i="47" s="1"/>
  <c r="AC47" i="56" s="1"/>
  <c r="AD47" i="56" s="1"/>
  <c r="R48" i="14"/>
  <c r="E10" i="13"/>
  <c r="G57" i="47" s="1"/>
  <c r="AC48" i="56" s="1"/>
  <c r="AD48" i="56" s="1"/>
  <c r="R51" i="14"/>
  <c r="E13" i="13"/>
  <c r="G60" i="47" s="1"/>
  <c r="AC51" i="56" s="1"/>
  <c r="AD51" i="56" s="1"/>
  <c r="R52" i="14"/>
  <c r="E14" i="13"/>
  <c r="G61" i="47" s="1"/>
  <c r="AC52" i="56" s="1"/>
  <c r="AD52" i="56" s="1"/>
  <c r="R53" i="14"/>
  <c r="E15" i="13"/>
  <c r="G62" i="47" s="1"/>
  <c r="AC53" i="56" s="1"/>
  <c r="AD53" i="56" s="1"/>
  <c r="R54" i="14"/>
  <c r="E16" i="13"/>
  <c r="G63" i="47" s="1"/>
  <c r="AC54" i="56" s="1"/>
  <c r="AD54" i="56" s="1"/>
  <c r="V58" i="49"/>
  <c r="G5" i="47"/>
  <c r="R5" i="14"/>
  <c r="Q26" i="14"/>
  <c r="D31" i="47"/>
  <c r="J25" i="56" s="1"/>
  <c r="K25" i="56" s="1"/>
  <c r="D35" i="47"/>
  <c r="J30" i="56" s="1"/>
  <c r="K30" i="56" s="1"/>
  <c r="Q30" i="14"/>
  <c r="Q36" i="14"/>
  <c r="D41" i="47"/>
  <c r="J36" i="56" s="1"/>
  <c r="K36" i="56" s="1"/>
  <c r="D43" i="47"/>
  <c r="J38" i="56" s="1"/>
  <c r="K38" i="56" s="1"/>
  <c r="Q38" i="14"/>
  <c r="Q29" i="14"/>
  <c r="D34" i="47"/>
  <c r="J29" i="56" s="1"/>
  <c r="K29" i="56" s="1"/>
  <c r="Q31" i="14"/>
  <c r="D36" i="47"/>
  <c r="J31" i="56" s="1"/>
  <c r="K31" i="56" s="1"/>
  <c r="Q37" i="14"/>
  <c r="D42" i="47"/>
  <c r="J37" i="56" s="1"/>
  <c r="K37" i="56" s="1"/>
  <c r="C5" i="11"/>
  <c r="C9" i="11"/>
  <c r="C10" i="11"/>
  <c r="C11" i="11"/>
  <c r="C16" i="11"/>
  <c r="C17" i="11"/>
  <c r="C18" i="11"/>
  <c r="G75" i="2"/>
  <c r="F45" i="49"/>
  <c r="G47" i="50"/>
  <c r="G26" i="49"/>
  <c r="I26" i="49" s="1"/>
  <c r="H27" i="50"/>
  <c r="G79" i="2"/>
  <c r="F48" i="49"/>
  <c r="G50" i="50"/>
  <c r="G29" i="49"/>
  <c r="I29" i="49" s="1"/>
  <c r="H30" i="50"/>
  <c r="G80" i="2"/>
  <c r="F49" i="49"/>
  <c r="G51" i="50"/>
  <c r="G30" i="49"/>
  <c r="I30" i="49" s="1"/>
  <c r="H31" i="50"/>
  <c r="G81" i="2"/>
  <c r="F50" i="49"/>
  <c r="G52" i="50"/>
  <c r="G31" i="49"/>
  <c r="I31" i="49" s="1"/>
  <c r="H32" i="50"/>
  <c r="G86" i="2"/>
  <c r="F55" i="49"/>
  <c r="G57" i="50"/>
  <c r="G36" i="49"/>
  <c r="I36" i="49" s="1"/>
  <c r="H37" i="50"/>
  <c r="G87" i="2"/>
  <c r="F56" i="49"/>
  <c r="G58" i="50"/>
  <c r="G37" i="49"/>
  <c r="I37" i="49" s="1"/>
  <c r="H38" i="50"/>
  <c r="G88" i="2"/>
  <c r="F57" i="49"/>
  <c r="G59" i="50"/>
  <c r="G38" i="49"/>
  <c r="I38" i="49" s="1"/>
  <c r="H39" i="50"/>
  <c r="D5" i="13" l="1"/>
  <c r="R25" i="14"/>
  <c r="Y9" i="50"/>
  <c r="C13" i="13"/>
  <c r="C9" i="13"/>
  <c r="C14" i="13"/>
  <c r="AC4" i="56"/>
  <c r="X59" i="50"/>
  <c r="X44" i="49"/>
  <c r="X58" i="49" s="1"/>
  <c r="H57" i="49"/>
  <c r="H56" i="49"/>
  <c r="H55" i="49"/>
  <c r="H50" i="49"/>
  <c r="H49" i="49"/>
  <c r="H48" i="49"/>
  <c r="H45" i="49"/>
  <c r="M38" i="49"/>
  <c r="K57" i="49" s="1"/>
  <c r="M37" i="49"/>
  <c r="K56" i="49" s="1"/>
  <c r="M36" i="49"/>
  <c r="K55" i="49" s="1"/>
  <c r="M31" i="49"/>
  <c r="M30" i="49"/>
  <c r="K49" i="49" s="1"/>
  <c r="M29" i="49"/>
  <c r="K48" i="49" s="1"/>
  <c r="M26" i="49"/>
  <c r="K45" i="49" s="1"/>
  <c r="K50" i="49"/>
  <c r="E32" i="47"/>
  <c r="P26" i="56" s="1"/>
  <c r="Q26" i="56" s="1"/>
  <c r="S27" i="14"/>
  <c r="Q46" i="14"/>
  <c r="D55" i="47"/>
  <c r="G46" i="49"/>
  <c r="I46" i="49" s="1"/>
  <c r="H48" i="50"/>
  <c r="D19" i="13"/>
  <c r="G43" i="47" s="1"/>
  <c r="AC38" i="56" s="1"/>
  <c r="AD38" i="56" s="1"/>
  <c r="Y59" i="50"/>
  <c r="D18" i="13"/>
  <c r="G42" i="47" s="1"/>
  <c r="AC37" i="56" s="1"/>
  <c r="AD37" i="56" s="1"/>
  <c r="W58" i="50"/>
  <c r="U58" i="50"/>
  <c r="D17" i="13"/>
  <c r="G41" i="47" s="1"/>
  <c r="AC36" i="56" s="1"/>
  <c r="AD36" i="56" s="1"/>
  <c r="W57" i="50"/>
  <c r="U57" i="50"/>
  <c r="D12" i="13"/>
  <c r="G36" i="47" s="1"/>
  <c r="AC31" i="56" s="1"/>
  <c r="AD31" i="56" s="1"/>
  <c r="W52" i="50"/>
  <c r="U52" i="50"/>
  <c r="X52" i="50" s="1"/>
  <c r="D11" i="13"/>
  <c r="G35" i="47" s="1"/>
  <c r="AC30" i="56" s="1"/>
  <c r="AD30" i="56" s="1"/>
  <c r="W51" i="50"/>
  <c r="U51" i="50"/>
  <c r="Y27" i="50"/>
  <c r="X40" i="50"/>
  <c r="W47" i="50"/>
  <c r="U47" i="50"/>
  <c r="S60" i="50"/>
  <c r="G30" i="47"/>
  <c r="AC24" i="56" s="1"/>
  <c r="R44" i="14"/>
  <c r="E5" i="13"/>
  <c r="E19" i="47"/>
  <c r="P18" i="56" s="1"/>
  <c r="Q18" i="56" s="1"/>
  <c r="S19" i="14"/>
  <c r="E18" i="47"/>
  <c r="P17" i="56" s="1"/>
  <c r="Q17" i="56" s="1"/>
  <c r="S18" i="14"/>
  <c r="E17" i="47"/>
  <c r="P16" i="56" s="1"/>
  <c r="Q16" i="56" s="1"/>
  <c r="S17" i="14"/>
  <c r="E12" i="47"/>
  <c r="P11" i="56" s="1"/>
  <c r="Q11" i="56" s="1"/>
  <c r="S12" i="14"/>
  <c r="E11" i="47"/>
  <c r="P10" i="56" s="1"/>
  <c r="Q10" i="56" s="1"/>
  <c r="S11" i="14"/>
  <c r="E10" i="47"/>
  <c r="P9" i="56" s="1"/>
  <c r="Q9" i="56" s="1"/>
  <c r="S10" i="14"/>
  <c r="E6" i="47"/>
  <c r="P5" i="56" s="1"/>
  <c r="Q5" i="56" s="1"/>
  <c r="S6" i="14"/>
  <c r="N39" i="50"/>
  <c r="O39" i="50" s="1"/>
  <c r="Q39" i="50" s="1"/>
  <c r="J39" i="50"/>
  <c r="L59" i="50"/>
  <c r="I59" i="50"/>
  <c r="J88" i="2"/>
  <c r="L88" i="2" s="1"/>
  <c r="H88" i="2"/>
  <c r="N38" i="50"/>
  <c r="O38" i="50" s="1"/>
  <c r="Q38" i="50" s="1"/>
  <c r="J38" i="50"/>
  <c r="N37" i="49"/>
  <c r="P37" i="49" s="1"/>
  <c r="D17" i="11" s="1"/>
  <c r="L58" i="50"/>
  <c r="I58" i="50"/>
  <c r="J87" i="2"/>
  <c r="L87" i="2" s="1"/>
  <c r="H87" i="2"/>
  <c r="N37" i="50"/>
  <c r="O37" i="50" s="1"/>
  <c r="Q37" i="50" s="1"/>
  <c r="J37" i="50"/>
  <c r="L57" i="50"/>
  <c r="I57" i="50"/>
  <c r="J86" i="2"/>
  <c r="L86" i="2" s="1"/>
  <c r="H86" i="2"/>
  <c r="N32" i="50"/>
  <c r="O32" i="50" s="1"/>
  <c r="Q32" i="50" s="1"/>
  <c r="J32" i="50"/>
  <c r="N31" i="49"/>
  <c r="P31" i="49" s="1"/>
  <c r="D11" i="11" s="1"/>
  <c r="L52" i="50"/>
  <c r="I52" i="50"/>
  <c r="J81" i="2"/>
  <c r="L81" i="2" s="1"/>
  <c r="H81" i="2"/>
  <c r="N31" i="50"/>
  <c r="O31" i="50" s="1"/>
  <c r="Q31" i="50" s="1"/>
  <c r="J31" i="50"/>
  <c r="L51" i="50"/>
  <c r="I51" i="50"/>
  <c r="L80" i="2"/>
  <c r="H80" i="2"/>
  <c r="N30" i="50"/>
  <c r="O30" i="50" s="1"/>
  <c r="Q30" i="50" s="1"/>
  <c r="J30" i="50"/>
  <c r="L50" i="50"/>
  <c r="I50" i="50"/>
  <c r="J79" i="2"/>
  <c r="L79" i="2" s="1"/>
  <c r="H79" i="2"/>
  <c r="N27" i="50"/>
  <c r="O27" i="50" s="1"/>
  <c r="Q27" i="50" s="1"/>
  <c r="J27" i="50"/>
  <c r="L47" i="50"/>
  <c r="I47" i="50"/>
  <c r="J75" i="2"/>
  <c r="L75" i="2" s="1"/>
  <c r="H75" i="2"/>
  <c r="Y40" i="50" l="1"/>
  <c r="R26" i="14"/>
  <c r="R39" i="14" s="1"/>
  <c r="W17" i="50"/>
  <c r="X17" i="50"/>
  <c r="G14" i="47"/>
  <c r="AC13" i="56" s="1"/>
  <c r="AD13" i="56" s="1"/>
  <c r="R14" i="14"/>
  <c r="W12" i="50"/>
  <c r="X12" i="50"/>
  <c r="G9" i="47"/>
  <c r="R9" i="14"/>
  <c r="W16" i="50"/>
  <c r="X16" i="50"/>
  <c r="G13" i="47"/>
  <c r="AC12" i="56" s="1"/>
  <c r="AD12" i="56" s="1"/>
  <c r="R13" i="14"/>
  <c r="AD24" i="56"/>
  <c r="J46" i="56"/>
  <c r="K46" i="56" s="1"/>
  <c r="AD4" i="56"/>
  <c r="N29" i="49"/>
  <c r="P29" i="49" s="1"/>
  <c r="D9" i="11" s="1"/>
  <c r="E34" i="47" s="1"/>
  <c r="P29" i="56" s="1"/>
  <c r="Q29" i="56" s="1"/>
  <c r="X57" i="50"/>
  <c r="Y57" i="50" s="1"/>
  <c r="X58" i="50"/>
  <c r="N26" i="49"/>
  <c r="P26" i="49" s="1"/>
  <c r="D5" i="11" s="1"/>
  <c r="E31" i="47" s="1"/>
  <c r="P25" i="56" s="1"/>
  <c r="Q25" i="56" s="1"/>
  <c r="U60" i="50"/>
  <c r="X47" i="50"/>
  <c r="X51" i="50"/>
  <c r="M46" i="49"/>
  <c r="N46" i="49" s="1"/>
  <c r="P46" i="49" s="1"/>
  <c r="E6" i="11" s="1"/>
  <c r="N36" i="49"/>
  <c r="P36" i="49" s="1"/>
  <c r="D16" i="11" s="1"/>
  <c r="S36" i="14" s="1"/>
  <c r="N38" i="49"/>
  <c r="P38" i="49" s="1"/>
  <c r="D18" i="11" s="1"/>
  <c r="S38" i="14" s="1"/>
  <c r="N30" i="49"/>
  <c r="P30" i="49" s="1"/>
  <c r="D10" i="11" s="1"/>
  <c r="E35" i="47" s="1"/>
  <c r="P30" i="56" s="1"/>
  <c r="Q30" i="56" s="1"/>
  <c r="N48" i="50"/>
  <c r="O48" i="50" s="1"/>
  <c r="Q48" i="50" s="1"/>
  <c r="J48" i="50"/>
  <c r="W60" i="50"/>
  <c r="D6" i="13"/>
  <c r="Y51" i="50"/>
  <c r="Y52" i="50"/>
  <c r="Y58" i="50"/>
  <c r="R57" i="14"/>
  <c r="E19" i="13"/>
  <c r="G66" i="47" s="1"/>
  <c r="AC57" i="56" s="1"/>
  <c r="AD57" i="56" s="1"/>
  <c r="G53" i="47"/>
  <c r="AC44" i="56" s="1"/>
  <c r="E36" i="47"/>
  <c r="P31" i="56" s="1"/>
  <c r="Q31" i="56" s="1"/>
  <c r="S31" i="14"/>
  <c r="E42" i="47"/>
  <c r="P37" i="56" s="1"/>
  <c r="Q37" i="56" s="1"/>
  <c r="S37" i="14"/>
  <c r="E43" i="47"/>
  <c r="P38" i="56" s="1"/>
  <c r="Q38" i="56" s="1"/>
  <c r="G6" i="9"/>
  <c r="V4" i="4"/>
  <c r="G10" i="9"/>
  <c r="V8" i="4"/>
  <c r="G11" i="9"/>
  <c r="V9" i="4"/>
  <c r="G12" i="9"/>
  <c r="V10" i="4"/>
  <c r="G17" i="9"/>
  <c r="V15" i="4"/>
  <c r="G18" i="9"/>
  <c r="V16" i="4"/>
  <c r="G19" i="9"/>
  <c r="V17" i="4"/>
  <c r="D10" i="2"/>
  <c r="F10" i="2" s="1"/>
  <c r="D12" i="2"/>
  <c r="F12" i="2" s="1"/>
  <c r="D13" i="2"/>
  <c r="F13" i="2" s="1"/>
  <c r="D7" i="2"/>
  <c r="F7" i="2" s="1"/>
  <c r="D14" i="2"/>
  <c r="F14" i="2" s="1"/>
  <c r="D8" i="2"/>
  <c r="F8" i="2" s="1"/>
  <c r="D15" i="2"/>
  <c r="F15" i="2" s="1"/>
  <c r="D16" i="2"/>
  <c r="F16" i="2" s="1"/>
  <c r="H16" i="2" s="1"/>
  <c r="D9" i="2"/>
  <c r="F9" i="2" s="1"/>
  <c r="D17" i="2"/>
  <c r="F17" i="2" s="1"/>
  <c r="H17" i="2" s="1"/>
  <c r="D18" i="1"/>
  <c r="D18" i="2"/>
  <c r="F18" i="2" s="1"/>
  <c r="D11" i="2"/>
  <c r="F11" i="2" s="1"/>
  <c r="D19" i="2"/>
  <c r="F19" i="2" s="1"/>
  <c r="E41" i="47" l="1"/>
  <c r="P36" i="56" s="1"/>
  <c r="Q36" i="56" s="1"/>
  <c r="Y12" i="50"/>
  <c r="AC8" i="56"/>
  <c r="Y16" i="50"/>
  <c r="C12" i="13"/>
  <c r="Y17" i="50"/>
  <c r="C17" i="13" s="1"/>
  <c r="AD44" i="56"/>
  <c r="S29" i="14"/>
  <c r="X60" i="50"/>
  <c r="Y47" i="50"/>
  <c r="R45" i="14" s="1"/>
  <c r="S26" i="14"/>
  <c r="S30" i="14"/>
  <c r="E55" i="47"/>
  <c r="S46" i="14"/>
  <c r="R56" i="14"/>
  <c r="E18" i="13"/>
  <c r="G65" i="47" s="1"/>
  <c r="AC56" i="56" s="1"/>
  <c r="AD56" i="56" s="1"/>
  <c r="R55" i="14"/>
  <c r="E17" i="13"/>
  <c r="G64" i="47" s="1"/>
  <c r="AC55" i="56" s="1"/>
  <c r="AD55" i="56" s="1"/>
  <c r="R50" i="14"/>
  <c r="E12" i="13"/>
  <c r="G59" i="47" s="1"/>
  <c r="AC50" i="56" s="1"/>
  <c r="AD50" i="56" s="1"/>
  <c r="R49" i="14"/>
  <c r="E11" i="13"/>
  <c r="G58" i="47" s="1"/>
  <c r="AC49" i="56" s="1"/>
  <c r="AD49" i="56" s="1"/>
  <c r="G31" i="47"/>
  <c r="D20" i="13"/>
  <c r="D65" i="47"/>
  <c r="J56" i="56" s="1"/>
  <c r="K56" i="56" s="1"/>
  <c r="Q56" i="14"/>
  <c r="D57" i="47"/>
  <c r="J48" i="56" s="1"/>
  <c r="K48" i="56" s="1"/>
  <c r="Q48" i="14"/>
  <c r="D59" i="47"/>
  <c r="J50" i="56" s="1"/>
  <c r="K50" i="56" s="1"/>
  <c r="Q50" i="14"/>
  <c r="D66" i="47"/>
  <c r="J57" i="56" s="1"/>
  <c r="K57" i="56" s="1"/>
  <c r="Q57" i="14"/>
  <c r="Q55" i="14"/>
  <c r="D64" i="47"/>
  <c r="J55" i="56" s="1"/>
  <c r="K55" i="56" s="1"/>
  <c r="D58" i="47"/>
  <c r="J49" i="56" s="1"/>
  <c r="K49" i="56" s="1"/>
  <c r="Q49" i="14"/>
  <c r="D54" i="47"/>
  <c r="J45" i="56" s="1"/>
  <c r="K45" i="56" s="1"/>
  <c r="Q45" i="14"/>
  <c r="G57" i="49"/>
  <c r="H59" i="50"/>
  <c r="G56" i="49"/>
  <c r="H58" i="50"/>
  <c r="G55" i="49"/>
  <c r="H57" i="50"/>
  <c r="G50" i="49"/>
  <c r="H52" i="50"/>
  <c r="G49" i="49"/>
  <c r="H51" i="50"/>
  <c r="G48" i="49"/>
  <c r="H50" i="50"/>
  <c r="G45" i="49"/>
  <c r="H47" i="50"/>
  <c r="J16" i="2"/>
  <c r="L16" i="2" s="1"/>
  <c r="H19" i="2"/>
  <c r="H11" i="2"/>
  <c r="H18" i="2"/>
  <c r="H9" i="2"/>
  <c r="H15" i="2"/>
  <c r="H8" i="2"/>
  <c r="H14" i="2"/>
  <c r="H7" i="2"/>
  <c r="H13" i="2"/>
  <c r="H10" i="2"/>
  <c r="H12" i="2"/>
  <c r="G20" i="2"/>
  <c r="D6" i="2"/>
  <c r="E18" i="1"/>
  <c r="AD8" i="56" l="1"/>
  <c r="G17" i="47"/>
  <c r="AC16" i="56" s="1"/>
  <c r="AD16" i="56" s="1"/>
  <c r="R17" i="14"/>
  <c r="W15" i="50"/>
  <c r="X15" i="50"/>
  <c r="G12" i="47"/>
  <c r="R12" i="14"/>
  <c r="C16" i="13"/>
  <c r="G44" i="47"/>
  <c r="G48" i="47" s="1"/>
  <c r="AC25" i="56"/>
  <c r="P46" i="56"/>
  <c r="Q46" i="56" s="1"/>
  <c r="E6" i="13"/>
  <c r="E20" i="13" s="1"/>
  <c r="Y60" i="50"/>
  <c r="M45" i="49"/>
  <c r="N45" i="49" s="1"/>
  <c r="P45" i="49" s="1"/>
  <c r="E5" i="11" s="1"/>
  <c r="I45" i="49"/>
  <c r="M48" i="49"/>
  <c r="N48" i="49" s="1"/>
  <c r="P48" i="49" s="1"/>
  <c r="E9" i="11" s="1"/>
  <c r="I48" i="49"/>
  <c r="M49" i="49"/>
  <c r="N49" i="49" s="1"/>
  <c r="P49" i="49" s="1"/>
  <c r="E10" i="11" s="1"/>
  <c r="I49" i="49"/>
  <c r="M50" i="49"/>
  <c r="N50" i="49" s="1"/>
  <c r="P50" i="49" s="1"/>
  <c r="E11" i="11" s="1"/>
  <c r="I50" i="49"/>
  <c r="M55" i="49"/>
  <c r="N55" i="49" s="1"/>
  <c r="P55" i="49" s="1"/>
  <c r="E16" i="11" s="1"/>
  <c r="I55" i="49"/>
  <c r="M56" i="49"/>
  <c r="N56" i="49" s="1"/>
  <c r="P56" i="49" s="1"/>
  <c r="E17" i="11" s="1"/>
  <c r="I56" i="49"/>
  <c r="M57" i="49"/>
  <c r="N57" i="49" s="1"/>
  <c r="P57" i="49" s="1"/>
  <c r="E18" i="11" s="1"/>
  <c r="I57" i="49"/>
  <c r="R58" i="14"/>
  <c r="N47" i="50"/>
  <c r="O47" i="50" s="1"/>
  <c r="Q47" i="50" s="1"/>
  <c r="J47" i="50"/>
  <c r="N50" i="50"/>
  <c r="O50" i="50" s="1"/>
  <c r="Q50" i="50" s="1"/>
  <c r="J50" i="50"/>
  <c r="N51" i="50"/>
  <c r="O51" i="50" s="1"/>
  <c r="Q51" i="50" s="1"/>
  <c r="J51" i="50"/>
  <c r="N52" i="50"/>
  <c r="O52" i="50" s="1"/>
  <c r="Q52" i="50" s="1"/>
  <c r="J52" i="50"/>
  <c r="N57" i="50"/>
  <c r="O57" i="50" s="1"/>
  <c r="Q57" i="50" s="1"/>
  <c r="J57" i="50"/>
  <c r="N58" i="50"/>
  <c r="O58" i="50" s="1"/>
  <c r="Q58" i="50" s="1"/>
  <c r="J58" i="50"/>
  <c r="N59" i="50"/>
  <c r="O59" i="50" s="1"/>
  <c r="Q59" i="50" s="1"/>
  <c r="J59" i="50"/>
  <c r="J13" i="2"/>
  <c r="L13" i="2" s="1"/>
  <c r="J14" i="2"/>
  <c r="L14" i="2" s="1"/>
  <c r="J15" i="2"/>
  <c r="L15" i="2" s="1"/>
  <c r="J9" i="2"/>
  <c r="L9" i="2" s="1"/>
  <c r="J6" i="2"/>
  <c r="L6" i="2" s="1"/>
  <c r="C16" i="9"/>
  <c r="P14" i="4" s="1"/>
  <c r="Q14" i="4" s="1"/>
  <c r="G46" i="2" s="1"/>
  <c r="F6" i="2"/>
  <c r="H6" i="2" s="1"/>
  <c r="D20" i="2"/>
  <c r="AC11" i="56" l="1"/>
  <c r="W19" i="50"/>
  <c r="X19" i="50"/>
  <c r="G16" i="47"/>
  <c r="AC15" i="56" s="1"/>
  <c r="AD15" i="56" s="1"/>
  <c r="R16" i="14"/>
  <c r="Y15" i="50"/>
  <c r="AD25" i="56"/>
  <c r="AD39" i="56" s="1"/>
  <c r="AC39" i="56"/>
  <c r="AX28" i="56" s="1"/>
  <c r="AY28" i="56" s="1"/>
  <c r="G54" i="47"/>
  <c r="J46" i="2"/>
  <c r="L46" i="2" s="1"/>
  <c r="E16" i="9" s="1"/>
  <c r="H46" i="2"/>
  <c r="E66" i="47"/>
  <c r="P57" i="56" s="1"/>
  <c r="Q57" i="56" s="1"/>
  <c r="S57" i="14"/>
  <c r="E65" i="47"/>
  <c r="P56" i="56" s="1"/>
  <c r="Q56" i="56" s="1"/>
  <c r="S56" i="14"/>
  <c r="E64" i="47"/>
  <c r="P55" i="56" s="1"/>
  <c r="Q55" i="56" s="1"/>
  <c r="S55" i="14"/>
  <c r="E59" i="47"/>
  <c r="P50" i="56" s="1"/>
  <c r="Q50" i="56" s="1"/>
  <c r="S50" i="14"/>
  <c r="E58" i="47"/>
  <c r="P49" i="56" s="1"/>
  <c r="Q49" i="56" s="1"/>
  <c r="S49" i="14"/>
  <c r="E57" i="47"/>
  <c r="P48" i="56" s="1"/>
  <c r="Q48" i="56" s="1"/>
  <c r="S48" i="14"/>
  <c r="E54" i="47"/>
  <c r="P45" i="56" s="1"/>
  <c r="Q45" i="56" s="1"/>
  <c r="S45" i="14"/>
  <c r="F15" i="49"/>
  <c r="G16" i="50"/>
  <c r="C14" i="9"/>
  <c r="P12" i="4" s="1"/>
  <c r="Q12" i="4" s="1"/>
  <c r="G44" i="2" s="1"/>
  <c r="C13" i="9"/>
  <c r="P11" i="4" s="1"/>
  <c r="Q11" i="4" s="1"/>
  <c r="G43" i="2" s="1"/>
  <c r="C9" i="9"/>
  <c r="P7" i="4" s="1"/>
  <c r="Q7" i="4" s="1"/>
  <c r="G39" i="2" s="1"/>
  <c r="C15" i="9"/>
  <c r="P13" i="4" s="1"/>
  <c r="Q13" i="4" s="1"/>
  <c r="G45" i="2" s="1"/>
  <c r="J20" i="2"/>
  <c r="F20" i="2"/>
  <c r="R14" i="4" l="1"/>
  <c r="S14" i="4" s="1"/>
  <c r="G65" i="2" s="1"/>
  <c r="H65" i="2" s="1"/>
  <c r="D16" i="9"/>
  <c r="D16" i="47" s="1"/>
  <c r="J15" i="56" s="1"/>
  <c r="AD11" i="56"/>
  <c r="C15" i="13"/>
  <c r="Y19" i="50"/>
  <c r="C19" i="13" s="1"/>
  <c r="G67" i="47"/>
  <c r="G71" i="47" s="1"/>
  <c r="AC45" i="56"/>
  <c r="J45" i="2"/>
  <c r="L45" i="2" s="1"/>
  <c r="E15" i="9" s="1"/>
  <c r="H45" i="2"/>
  <c r="J39" i="2"/>
  <c r="L39" i="2" s="1"/>
  <c r="E9" i="9" s="1"/>
  <c r="H39" i="2"/>
  <c r="J43" i="2"/>
  <c r="L43" i="2" s="1"/>
  <c r="E13" i="9" s="1"/>
  <c r="H43" i="2"/>
  <c r="J44" i="2"/>
  <c r="L44" i="2" s="1"/>
  <c r="E14" i="9" s="1"/>
  <c r="H44" i="2"/>
  <c r="F14" i="49"/>
  <c r="G15" i="50"/>
  <c r="F8" i="49"/>
  <c r="G9" i="50"/>
  <c r="F12" i="49"/>
  <c r="G13" i="50"/>
  <c r="F13" i="49"/>
  <c r="G14" i="50"/>
  <c r="Q16" i="14"/>
  <c r="J65" i="2"/>
  <c r="L16" i="50"/>
  <c r="I16" i="50"/>
  <c r="K15" i="49"/>
  <c r="H15" i="49"/>
  <c r="C5" i="9"/>
  <c r="P3" i="4" s="1"/>
  <c r="L20" i="2"/>
  <c r="H20" i="2"/>
  <c r="G36" i="50" l="1"/>
  <c r="G15" i="49"/>
  <c r="M15" i="49" s="1"/>
  <c r="K35" i="49" s="1"/>
  <c r="F35" i="49"/>
  <c r="R7" i="4"/>
  <c r="S7" i="4" s="1"/>
  <c r="G58" i="2" s="1"/>
  <c r="H16" i="50"/>
  <c r="J16" i="50" s="1"/>
  <c r="G19" i="47"/>
  <c r="AC18" i="56" s="1"/>
  <c r="AD18" i="56" s="1"/>
  <c r="R19" i="14"/>
  <c r="W18" i="50"/>
  <c r="W20" i="50" s="1"/>
  <c r="X18" i="50"/>
  <c r="X20" i="50" s="1"/>
  <c r="G15" i="47"/>
  <c r="R15" i="14"/>
  <c r="AD45" i="56"/>
  <c r="AD58" i="56" s="1"/>
  <c r="AC58" i="56"/>
  <c r="AX48" i="56" s="1"/>
  <c r="R13" i="4"/>
  <c r="S13" i="4" s="1"/>
  <c r="G64" i="2" s="1"/>
  <c r="H64" i="2" s="1"/>
  <c r="R11" i="4"/>
  <c r="S11" i="4" s="1"/>
  <c r="G62" i="2" s="1"/>
  <c r="J62" i="2" s="1"/>
  <c r="D15" i="9"/>
  <c r="D15" i="47" s="1"/>
  <c r="J14" i="56" s="1"/>
  <c r="R12" i="4"/>
  <c r="S12" i="4" s="1"/>
  <c r="G63" i="2" s="1"/>
  <c r="J63" i="2" s="1"/>
  <c r="D9" i="9"/>
  <c r="D9" i="47" s="1"/>
  <c r="J8" i="56" s="1"/>
  <c r="D14" i="9"/>
  <c r="D14" i="47" s="1"/>
  <c r="J13" i="56" s="1"/>
  <c r="H35" i="49"/>
  <c r="D13" i="9"/>
  <c r="D13" i="47" s="1"/>
  <c r="J12" i="56" s="1"/>
  <c r="N16" i="50"/>
  <c r="O16" i="50" s="1"/>
  <c r="Q16" i="50" s="1"/>
  <c r="L65" i="2"/>
  <c r="L36" i="50"/>
  <c r="I36" i="50"/>
  <c r="F28" i="49"/>
  <c r="G29" i="50"/>
  <c r="Q9" i="14"/>
  <c r="H58" i="2"/>
  <c r="J58" i="2"/>
  <c r="Q15" i="14"/>
  <c r="G14" i="49"/>
  <c r="M14" i="49" s="1"/>
  <c r="K34" i="49" s="1"/>
  <c r="H15" i="50"/>
  <c r="N15" i="50" s="1"/>
  <c r="F33" i="49"/>
  <c r="G34" i="50"/>
  <c r="G13" i="49"/>
  <c r="M13" i="49" s="1"/>
  <c r="K33" i="49" s="1"/>
  <c r="H14" i="50"/>
  <c r="N14" i="50" s="1"/>
  <c r="H63" i="2"/>
  <c r="L14" i="50"/>
  <c r="I14" i="50"/>
  <c r="K13" i="49"/>
  <c r="H13" i="49"/>
  <c r="L13" i="50"/>
  <c r="I13" i="50"/>
  <c r="K12" i="49"/>
  <c r="H12" i="49"/>
  <c r="L9" i="50"/>
  <c r="I9" i="50"/>
  <c r="K8" i="49"/>
  <c r="H8" i="49"/>
  <c r="L15" i="50"/>
  <c r="I15" i="50"/>
  <c r="K14" i="49"/>
  <c r="H14" i="49"/>
  <c r="P18" i="4"/>
  <c r="Q3" i="4"/>
  <c r="G35" i="2" s="1"/>
  <c r="C20" i="9"/>
  <c r="BE10" i="56" l="1"/>
  <c r="E8" i="58"/>
  <c r="F8" i="58" s="1"/>
  <c r="I15" i="49"/>
  <c r="J64" i="2"/>
  <c r="F34" i="49"/>
  <c r="H34" i="49" s="1"/>
  <c r="N15" i="49"/>
  <c r="P15" i="49" s="1"/>
  <c r="C15" i="11" s="1"/>
  <c r="E16" i="47" s="1"/>
  <c r="P15" i="56" s="1"/>
  <c r="Q15" i="56" s="1"/>
  <c r="Q14" i="14"/>
  <c r="G35" i="50"/>
  <c r="G33" i="50"/>
  <c r="H62" i="2"/>
  <c r="AY48" i="56"/>
  <c r="AC14" i="56"/>
  <c r="Y18" i="50"/>
  <c r="G12" i="49"/>
  <c r="M12" i="49" s="1"/>
  <c r="K32" i="49" s="1"/>
  <c r="H9" i="50"/>
  <c r="J9" i="50" s="1"/>
  <c r="I14" i="49"/>
  <c r="Q13" i="14"/>
  <c r="G8" i="49"/>
  <c r="M8" i="49" s="1"/>
  <c r="K28" i="49" s="1"/>
  <c r="H13" i="50"/>
  <c r="N13" i="50" s="1"/>
  <c r="O13" i="50" s="1"/>
  <c r="Q13" i="50" s="1"/>
  <c r="F32" i="49"/>
  <c r="H32" i="49" s="1"/>
  <c r="H33" i="49"/>
  <c r="N14" i="49"/>
  <c r="P14" i="49" s="1"/>
  <c r="C14" i="11" s="1"/>
  <c r="J15" i="50"/>
  <c r="O15" i="50"/>
  <c r="Q15" i="50" s="1"/>
  <c r="J14" i="50"/>
  <c r="G50" i="2"/>
  <c r="J35" i="2"/>
  <c r="H35" i="2"/>
  <c r="H50" i="2" s="1"/>
  <c r="I12" i="49"/>
  <c r="N13" i="49"/>
  <c r="P13" i="49" s="1"/>
  <c r="C13" i="11" s="1"/>
  <c r="O14" i="50"/>
  <c r="Q14" i="50" s="1"/>
  <c r="I13" i="49"/>
  <c r="S16" i="14"/>
  <c r="F4" i="49"/>
  <c r="G5" i="50"/>
  <c r="L62" i="2"/>
  <c r="L33" i="50"/>
  <c r="I33" i="50"/>
  <c r="L63" i="2"/>
  <c r="L34" i="50"/>
  <c r="I34" i="50"/>
  <c r="L64" i="2"/>
  <c r="L35" i="50"/>
  <c r="I35" i="50"/>
  <c r="L58" i="2"/>
  <c r="L29" i="50"/>
  <c r="I29" i="50"/>
  <c r="F16" i="9"/>
  <c r="T14" i="4"/>
  <c r="U14" i="4" s="1"/>
  <c r="Q18" i="4"/>
  <c r="I8" i="49" l="1"/>
  <c r="N9" i="50"/>
  <c r="O9" i="50" s="1"/>
  <c r="Q9" i="50" s="1"/>
  <c r="N12" i="49"/>
  <c r="P12" i="49" s="1"/>
  <c r="C12" i="11" s="1"/>
  <c r="E13" i="47" s="1"/>
  <c r="P12" i="56" s="1"/>
  <c r="Q12" i="56" s="1"/>
  <c r="C18" i="13"/>
  <c r="C20" i="13" s="1"/>
  <c r="Y20" i="50"/>
  <c r="Z20" i="50" s="1"/>
  <c r="AD14" i="56"/>
  <c r="G18" i="47"/>
  <c r="R18" i="14"/>
  <c r="J13" i="50"/>
  <c r="N8" i="49"/>
  <c r="P8" i="49" s="1"/>
  <c r="C8" i="11" s="1"/>
  <c r="E9" i="47" s="1"/>
  <c r="P8" i="56" s="1"/>
  <c r="Q8" i="56" s="1"/>
  <c r="L35" i="2"/>
  <c r="E5" i="9" s="1"/>
  <c r="E20" i="9" s="1"/>
  <c r="J50" i="2"/>
  <c r="Q35" i="14"/>
  <c r="D40" i="47"/>
  <c r="J35" i="56" s="1"/>
  <c r="K35" i="56" s="1"/>
  <c r="E14" i="47"/>
  <c r="P13" i="56" s="1"/>
  <c r="Q13" i="56" s="1"/>
  <c r="S14" i="14"/>
  <c r="S13" i="14"/>
  <c r="E15" i="47"/>
  <c r="P14" i="56" s="1"/>
  <c r="Q14" i="56" s="1"/>
  <c r="S15" i="14"/>
  <c r="G85" i="2"/>
  <c r="F54" i="49"/>
  <c r="G56" i="50"/>
  <c r="G35" i="49"/>
  <c r="I35" i="49" s="1"/>
  <c r="H36" i="50"/>
  <c r="F9" i="9"/>
  <c r="T7" i="4"/>
  <c r="U7" i="4" s="1"/>
  <c r="F15" i="9"/>
  <c r="T13" i="4"/>
  <c r="U13" i="4" s="1"/>
  <c r="F14" i="9"/>
  <c r="T12" i="4"/>
  <c r="U12" i="4" s="1"/>
  <c r="F13" i="9"/>
  <c r="T11" i="4"/>
  <c r="U11" i="4" s="1"/>
  <c r="G20" i="50"/>
  <c r="L5" i="50"/>
  <c r="I5" i="50"/>
  <c r="I20" i="50" s="1"/>
  <c r="F19" i="49"/>
  <c r="K4" i="49"/>
  <c r="H4" i="49"/>
  <c r="H19" i="49" s="1"/>
  <c r="AC17" i="56" l="1"/>
  <c r="G20" i="47"/>
  <c r="G24" i="47" s="1"/>
  <c r="S9" i="14"/>
  <c r="H54" i="49"/>
  <c r="M35" i="49"/>
  <c r="K54" i="49" s="1"/>
  <c r="D5" i="9"/>
  <c r="R3" i="4"/>
  <c r="L50" i="2"/>
  <c r="Q33" i="14"/>
  <c r="D38" i="47"/>
  <c r="J33" i="56" s="1"/>
  <c r="K33" i="56" s="1"/>
  <c r="Q32" i="14"/>
  <c r="D37" i="47"/>
  <c r="J32" i="56" s="1"/>
  <c r="K32" i="56" s="1"/>
  <c r="D39" i="47"/>
  <c r="J34" i="56" s="1"/>
  <c r="K34" i="56" s="1"/>
  <c r="Q34" i="14"/>
  <c r="Q28" i="14"/>
  <c r="D33" i="47"/>
  <c r="J28" i="56" s="1"/>
  <c r="K19" i="49"/>
  <c r="L20" i="50"/>
  <c r="G82" i="2"/>
  <c r="F51" i="49"/>
  <c r="G53" i="50"/>
  <c r="G32" i="49"/>
  <c r="I32" i="49" s="1"/>
  <c r="H33" i="50"/>
  <c r="G83" i="2"/>
  <c r="F52" i="49"/>
  <c r="G54" i="50"/>
  <c r="G33" i="49"/>
  <c r="I33" i="49" s="1"/>
  <c r="H34" i="50"/>
  <c r="G84" i="2"/>
  <c r="F53" i="49"/>
  <c r="G55" i="50"/>
  <c r="G34" i="49"/>
  <c r="I34" i="49" s="1"/>
  <c r="H35" i="50"/>
  <c r="G78" i="2"/>
  <c r="F47" i="49"/>
  <c r="G49" i="50"/>
  <c r="G28" i="49"/>
  <c r="H29" i="50"/>
  <c r="N36" i="50"/>
  <c r="O36" i="50" s="1"/>
  <c r="Q36" i="50" s="1"/>
  <c r="J36" i="50"/>
  <c r="N35" i="49"/>
  <c r="P35" i="49" s="1"/>
  <c r="D15" i="11" s="1"/>
  <c r="L56" i="50"/>
  <c r="I56" i="50"/>
  <c r="J85" i="2"/>
  <c r="L85" i="2" s="1"/>
  <c r="H85" i="2"/>
  <c r="AD17" i="56" l="1"/>
  <c r="AD19" i="56" s="1"/>
  <c r="AC19" i="56"/>
  <c r="K28" i="56"/>
  <c r="H47" i="49"/>
  <c r="H53" i="49"/>
  <c r="H52" i="49"/>
  <c r="H51" i="49"/>
  <c r="M28" i="49"/>
  <c r="K47" i="49" s="1"/>
  <c r="M34" i="49"/>
  <c r="K53" i="49" s="1"/>
  <c r="M33" i="49"/>
  <c r="K52" i="49" s="1"/>
  <c r="M32" i="49"/>
  <c r="K51" i="49" s="1"/>
  <c r="R18" i="4"/>
  <c r="S3" i="4"/>
  <c r="D5" i="47"/>
  <c r="Q5" i="14"/>
  <c r="Q20" i="14" s="1"/>
  <c r="G4" i="49"/>
  <c r="D20" i="9"/>
  <c r="H5" i="50"/>
  <c r="E40" i="47"/>
  <c r="P35" i="56" s="1"/>
  <c r="Q35" i="56" s="1"/>
  <c r="S35" i="14"/>
  <c r="V14" i="4"/>
  <c r="G16" i="9"/>
  <c r="N29" i="50"/>
  <c r="O29" i="50" s="1"/>
  <c r="Q29" i="50" s="1"/>
  <c r="J29" i="50"/>
  <c r="L49" i="50"/>
  <c r="I49" i="50"/>
  <c r="J78" i="2"/>
  <c r="L78" i="2" s="1"/>
  <c r="H78" i="2"/>
  <c r="N35" i="50"/>
  <c r="O35" i="50" s="1"/>
  <c r="Q35" i="50" s="1"/>
  <c r="J35" i="50"/>
  <c r="L55" i="50"/>
  <c r="I55" i="50"/>
  <c r="J84" i="2"/>
  <c r="L84" i="2" s="1"/>
  <c r="H84" i="2"/>
  <c r="N34" i="50"/>
  <c r="O34" i="50" s="1"/>
  <c r="Q34" i="50" s="1"/>
  <c r="J34" i="50"/>
  <c r="L54" i="50"/>
  <c r="I54" i="50"/>
  <c r="J83" i="2"/>
  <c r="L83" i="2" s="1"/>
  <c r="H83" i="2"/>
  <c r="N33" i="50"/>
  <c r="O33" i="50" s="1"/>
  <c r="Q33" i="50" s="1"/>
  <c r="J33" i="50"/>
  <c r="N32" i="49"/>
  <c r="P32" i="49" s="1"/>
  <c r="D12" i="11" s="1"/>
  <c r="L53" i="50"/>
  <c r="I53" i="50"/>
  <c r="J82" i="2"/>
  <c r="L82" i="2" s="1"/>
  <c r="H82" i="2"/>
  <c r="AX10" i="56" l="1"/>
  <c r="BC10" i="56" s="1"/>
  <c r="AE19" i="56"/>
  <c r="D20" i="47"/>
  <c r="D24" i="47" s="1"/>
  <c r="J4" i="56"/>
  <c r="N34" i="49"/>
  <c r="P34" i="49" s="1"/>
  <c r="D14" i="11" s="1"/>
  <c r="S34" i="14" s="1"/>
  <c r="N33" i="49"/>
  <c r="P33" i="49" s="1"/>
  <c r="D13" i="11" s="1"/>
  <c r="S33" i="14" s="1"/>
  <c r="N28" i="49"/>
  <c r="P28" i="49" s="1"/>
  <c r="D8" i="11" s="1"/>
  <c r="E33" i="47" s="1"/>
  <c r="P28" i="56" s="1"/>
  <c r="H20" i="50"/>
  <c r="N5" i="50"/>
  <c r="J5" i="50"/>
  <c r="J20" i="50" s="1"/>
  <c r="G19" i="49"/>
  <c r="M4" i="49"/>
  <c r="I4" i="49"/>
  <c r="I19" i="49" s="1"/>
  <c r="G55" i="2"/>
  <c r="F25" i="49"/>
  <c r="G26" i="50"/>
  <c r="S18" i="4"/>
  <c r="D63" i="47"/>
  <c r="J54" i="56" s="1"/>
  <c r="K54" i="56" s="1"/>
  <c r="Q54" i="14"/>
  <c r="E37" i="47"/>
  <c r="P32" i="56" s="1"/>
  <c r="Q32" i="56" s="1"/>
  <c r="S32" i="14"/>
  <c r="V11" i="4"/>
  <c r="G13" i="9"/>
  <c r="V12" i="4"/>
  <c r="G14" i="9"/>
  <c r="V13" i="4"/>
  <c r="G15" i="9"/>
  <c r="V7" i="4"/>
  <c r="G9" i="9"/>
  <c r="G54" i="49"/>
  <c r="H56" i="50"/>
  <c r="E39" i="47" l="1"/>
  <c r="P34" i="56" s="1"/>
  <c r="Q34" i="56" s="1"/>
  <c r="E38" i="47"/>
  <c r="P33" i="56" s="1"/>
  <c r="Q33" i="56" s="1"/>
  <c r="AY10" i="56"/>
  <c r="BD10" i="56" s="1"/>
  <c r="M54" i="49"/>
  <c r="I54" i="49"/>
  <c r="H25" i="49"/>
  <c r="S28" i="14"/>
  <c r="G40" i="50"/>
  <c r="L26" i="50"/>
  <c r="L40" i="50" s="1"/>
  <c r="I26" i="50"/>
  <c r="I40" i="50" s="1"/>
  <c r="F39" i="49"/>
  <c r="G69" i="2"/>
  <c r="J55" i="2"/>
  <c r="H55" i="2"/>
  <c r="H69" i="2" s="1"/>
  <c r="K25" i="49"/>
  <c r="M19" i="49"/>
  <c r="N4" i="49"/>
  <c r="N20" i="50"/>
  <c r="O5" i="50"/>
  <c r="Q47" i="14"/>
  <c r="D56" i="47"/>
  <c r="J47" i="56" s="1"/>
  <c r="K47" i="56" s="1"/>
  <c r="D61" i="47"/>
  <c r="J52" i="56" s="1"/>
  <c r="K52" i="56" s="1"/>
  <c r="Q52" i="14"/>
  <c r="D62" i="47"/>
  <c r="J53" i="56" s="1"/>
  <c r="K53" i="56" s="1"/>
  <c r="Q53" i="14"/>
  <c r="Q51" i="14"/>
  <c r="D60" i="47"/>
  <c r="J51" i="56" s="1"/>
  <c r="K51" i="56" s="1"/>
  <c r="N56" i="50"/>
  <c r="O56" i="50" s="1"/>
  <c r="Q56" i="50" s="1"/>
  <c r="J56" i="50"/>
  <c r="N54" i="49"/>
  <c r="P54" i="49" s="1"/>
  <c r="E15" i="11" s="1"/>
  <c r="G47" i="49"/>
  <c r="H49" i="50"/>
  <c r="G53" i="49"/>
  <c r="H55" i="50"/>
  <c r="G52" i="49"/>
  <c r="H54" i="50"/>
  <c r="G51" i="49"/>
  <c r="H53" i="50"/>
  <c r="M51" i="49" l="1"/>
  <c r="I51" i="49"/>
  <c r="M52" i="49"/>
  <c r="N52" i="49" s="1"/>
  <c r="P52" i="49" s="1"/>
  <c r="E13" i="11" s="1"/>
  <c r="I52" i="49"/>
  <c r="M53" i="49"/>
  <c r="N53" i="49" s="1"/>
  <c r="P53" i="49" s="1"/>
  <c r="E14" i="11" s="1"/>
  <c r="I53" i="49"/>
  <c r="M47" i="49"/>
  <c r="N47" i="49" s="1"/>
  <c r="P47" i="49" s="1"/>
  <c r="E8" i="11" s="1"/>
  <c r="I47" i="49"/>
  <c r="H39" i="49"/>
  <c r="K39" i="49"/>
  <c r="O20" i="50"/>
  <c r="Q5" i="50"/>
  <c r="Q20" i="50" s="1"/>
  <c r="P4" i="49"/>
  <c r="N19" i="49"/>
  <c r="L55" i="2"/>
  <c r="J69" i="2"/>
  <c r="E63" i="47"/>
  <c r="P54" i="56" s="1"/>
  <c r="Q54" i="56" s="1"/>
  <c r="S54" i="14"/>
  <c r="N53" i="50"/>
  <c r="O53" i="50" s="1"/>
  <c r="Q53" i="50" s="1"/>
  <c r="J53" i="50"/>
  <c r="N51" i="49"/>
  <c r="P51" i="49" s="1"/>
  <c r="E12" i="11" s="1"/>
  <c r="N54" i="50"/>
  <c r="O54" i="50" s="1"/>
  <c r="Q54" i="50" s="1"/>
  <c r="J54" i="50"/>
  <c r="N55" i="50"/>
  <c r="O55" i="50" s="1"/>
  <c r="Q55" i="50" s="1"/>
  <c r="J55" i="50"/>
  <c r="N49" i="50"/>
  <c r="O49" i="50" s="1"/>
  <c r="Q49" i="50" s="1"/>
  <c r="J49" i="50"/>
  <c r="L69" i="2" l="1"/>
  <c r="F5" i="9"/>
  <c r="D30" i="47" s="1"/>
  <c r="J24" i="56" s="1"/>
  <c r="T3" i="4"/>
  <c r="C4" i="11"/>
  <c r="P19" i="49"/>
  <c r="E56" i="47"/>
  <c r="P47" i="56" s="1"/>
  <c r="Q47" i="56" s="1"/>
  <c r="S47" i="14"/>
  <c r="E62" i="47"/>
  <c r="P53" i="56" s="1"/>
  <c r="Q53" i="56" s="1"/>
  <c r="S53" i="14"/>
  <c r="E61" i="47"/>
  <c r="P52" i="56" s="1"/>
  <c r="Q52" i="56" s="1"/>
  <c r="S52" i="14"/>
  <c r="E60" i="47"/>
  <c r="P51" i="56" s="1"/>
  <c r="Q51" i="56" s="1"/>
  <c r="S51" i="14"/>
  <c r="K24" i="56" l="1"/>
  <c r="K39" i="56" s="1"/>
  <c r="J39" i="56"/>
  <c r="AX24" i="56" s="1"/>
  <c r="AY24" i="56" s="1"/>
  <c r="E5" i="47"/>
  <c r="C19" i="11"/>
  <c r="S5" i="14"/>
  <c r="T18" i="4"/>
  <c r="U3" i="4"/>
  <c r="Q25" i="14"/>
  <c r="Q39" i="14" s="1"/>
  <c r="D44" i="47"/>
  <c r="D48" i="47" s="1"/>
  <c r="G25" i="49"/>
  <c r="I25" i="49" s="1"/>
  <c r="H26" i="50"/>
  <c r="F20" i="9"/>
  <c r="E20" i="47" l="1"/>
  <c r="E24" i="47" s="1"/>
  <c r="P4" i="56"/>
  <c r="M25" i="49"/>
  <c r="N26" i="50"/>
  <c r="J26" i="50"/>
  <c r="J40" i="50" s="1"/>
  <c r="H40" i="50"/>
  <c r="G39" i="49"/>
  <c r="I39" i="49" s="1"/>
  <c r="U18" i="4"/>
  <c r="G74" i="2"/>
  <c r="F44" i="49"/>
  <c r="G46" i="50"/>
  <c r="P19" i="56" l="1"/>
  <c r="AX7" i="56" s="1"/>
  <c r="Q4" i="56"/>
  <c r="Q19" i="56" s="1"/>
  <c r="H44" i="49"/>
  <c r="H58" i="49" s="1"/>
  <c r="L46" i="50"/>
  <c r="L60" i="50" s="1"/>
  <c r="I46" i="50"/>
  <c r="I60" i="50" s="1"/>
  <c r="G60" i="50"/>
  <c r="F58" i="49"/>
  <c r="G89" i="2"/>
  <c r="J74" i="2"/>
  <c r="H74" i="2"/>
  <c r="H89" i="2" s="1"/>
  <c r="K44" i="49"/>
  <c r="N25" i="49"/>
  <c r="M39" i="49"/>
  <c r="O26" i="50"/>
  <c r="N40" i="50"/>
  <c r="AY7" i="56" l="1"/>
  <c r="BD8" i="56" s="1"/>
  <c r="BC8" i="56"/>
  <c r="K58" i="49"/>
  <c r="Q26" i="50"/>
  <c r="Q40" i="50" s="1"/>
  <c r="O40" i="50"/>
  <c r="P25" i="49"/>
  <c r="N39" i="49"/>
  <c r="L74" i="2"/>
  <c r="J89" i="2"/>
  <c r="V3" i="4" l="1"/>
  <c r="V18" i="4" s="1"/>
  <c r="G5" i="9"/>
  <c r="L89" i="2"/>
  <c r="D4" i="11"/>
  <c r="P39" i="49"/>
  <c r="E30" i="47" l="1"/>
  <c r="S25" i="14"/>
  <c r="S39" i="14" s="1"/>
  <c r="D19" i="11"/>
  <c r="D53" i="47"/>
  <c r="Q44" i="14"/>
  <c r="Q58" i="14" s="1"/>
  <c r="G20" i="9"/>
  <c r="G44" i="49"/>
  <c r="I44" i="49" s="1"/>
  <c r="H46" i="50"/>
  <c r="D67" i="47" l="1"/>
  <c r="D71" i="47" s="1"/>
  <c r="J44" i="56"/>
  <c r="E44" i="47"/>
  <c r="E48" i="47" s="1"/>
  <c r="P24" i="56"/>
  <c r="Q24" i="56" s="1"/>
  <c r="M44" i="49"/>
  <c r="H60" i="50"/>
  <c r="N46" i="50"/>
  <c r="J46" i="50"/>
  <c r="J60" i="50" s="1"/>
  <c r="G58" i="49"/>
  <c r="I58" i="49"/>
  <c r="J58" i="56" l="1"/>
  <c r="K44" i="56"/>
  <c r="K58" i="56" s="1"/>
  <c r="N44" i="49"/>
  <c r="M58" i="49"/>
  <c r="O46" i="50"/>
  <c r="N60" i="50"/>
  <c r="AX45" i="56" l="1"/>
  <c r="Q46" i="50"/>
  <c r="Q60" i="50" s="1"/>
  <c r="O60" i="50"/>
  <c r="P44" i="49"/>
  <c r="N58" i="49"/>
  <c r="BE7" i="56" l="1"/>
  <c r="E5" i="58"/>
  <c r="F5" i="58" s="1"/>
  <c r="AY45" i="56"/>
  <c r="E4" i="11"/>
  <c r="P58" i="49"/>
  <c r="E53" i="47" l="1"/>
  <c r="P44" i="56" s="1"/>
  <c r="S44" i="14"/>
  <c r="E19" i="11"/>
  <c r="P58" i="56" l="1"/>
  <c r="AX46" i="56" s="1"/>
  <c r="Q44" i="56"/>
  <c r="Q58" i="56" s="1"/>
  <c r="S58" i="14"/>
  <c r="E67" i="47"/>
  <c r="E71" i="47" s="1"/>
  <c r="K5" i="56"/>
  <c r="K6" i="56"/>
  <c r="K8" i="56"/>
  <c r="K9" i="56"/>
  <c r="K10" i="56"/>
  <c r="K11" i="56"/>
  <c r="K12" i="56"/>
  <c r="K13" i="56"/>
  <c r="K14" i="56"/>
  <c r="K15" i="56"/>
  <c r="K16" i="56"/>
  <c r="K17" i="56"/>
  <c r="K18" i="56"/>
  <c r="K4" i="56"/>
  <c r="J19" i="56"/>
  <c r="AX6" i="56" s="1"/>
  <c r="AY6" i="56" s="1"/>
  <c r="BD7" i="56" s="1"/>
  <c r="BE8" i="56" l="1"/>
  <c r="E6" i="58"/>
  <c r="F6" i="58" s="1"/>
  <c r="BC7" i="56"/>
  <c r="AY46" i="56"/>
  <c r="K19" i="56"/>
  <c r="Q28" i="56"/>
  <c r="Q39" i="56" s="1"/>
  <c r="P39" i="56"/>
  <c r="AX25" i="56" s="1"/>
  <c r="AY25" i="56" s="1"/>
  <c r="AY30" i="56" l="1"/>
  <c r="AY33" i="56" s="1"/>
  <c r="D3" i="57"/>
  <c r="E3" i="57"/>
  <c r="G3" i="57"/>
  <c r="L3" i="57"/>
  <c r="M3" i="57"/>
  <c r="N3" i="57"/>
  <c r="O3" i="57"/>
  <c r="S3" i="57"/>
  <c r="T3" i="57"/>
  <c r="U3" i="57"/>
  <c r="V3" i="57"/>
  <c r="AA3" i="57"/>
  <c r="AB3" i="57"/>
  <c r="D4" i="57"/>
  <c r="E4" i="57"/>
  <c r="G4" i="57"/>
  <c r="L4" i="57"/>
  <c r="M4" i="57"/>
  <c r="N4" i="57"/>
  <c r="O4" i="57"/>
  <c r="S4" i="57"/>
  <c r="T4" i="57"/>
  <c r="U4" i="57"/>
  <c r="V4" i="57"/>
  <c r="AA4" i="57"/>
  <c r="AB4" i="57"/>
  <c r="D5" i="57"/>
  <c r="E5" i="57"/>
  <c r="G5" i="57"/>
  <c r="L5" i="57"/>
  <c r="M5" i="57"/>
  <c r="N5" i="57"/>
  <c r="O5" i="57"/>
  <c r="S5" i="57"/>
  <c r="T5" i="57"/>
  <c r="U5" i="57"/>
  <c r="V5" i="57"/>
  <c r="AA5" i="57"/>
  <c r="AB5" i="57"/>
  <c r="D6" i="57"/>
  <c r="E6" i="57"/>
  <c r="G6" i="57"/>
  <c r="L6" i="57"/>
  <c r="M6" i="57"/>
  <c r="N6" i="57"/>
  <c r="O6" i="57"/>
  <c r="D7" i="57"/>
  <c r="E7" i="57"/>
  <c r="G7" i="57"/>
  <c r="L7" i="57"/>
  <c r="M7" i="57"/>
  <c r="N7" i="57"/>
  <c r="O7" i="57"/>
  <c r="S7" i="57"/>
  <c r="T7" i="57"/>
  <c r="U7" i="57"/>
  <c r="V7" i="57"/>
  <c r="AA7" i="57"/>
  <c r="AB7" i="57"/>
  <c r="D8" i="57"/>
  <c r="E8" i="57"/>
  <c r="G8" i="57"/>
  <c r="L8" i="57"/>
  <c r="M8" i="57"/>
  <c r="N8" i="57"/>
  <c r="O8" i="57"/>
  <c r="S8" i="57"/>
  <c r="T8" i="57"/>
  <c r="U8" i="57"/>
  <c r="V8" i="57"/>
  <c r="AA8" i="57"/>
  <c r="AB8" i="57"/>
  <c r="D9" i="57"/>
  <c r="E9" i="57"/>
  <c r="G9" i="57"/>
  <c r="L9" i="57"/>
  <c r="M9" i="57"/>
  <c r="N9" i="57"/>
  <c r="O9" i="57"/>
  <c r="S9" i="57"/>
  <c r="T9" i="57"/>
  <c r="U9" i="57"/>
  <c r="V9" i="57"/>
  <c r="AA9" i="57"/>
  <c r="AB9" i="57"/>
  <c r="D10" i="57"/>
  <c r="E10" i="57"/>
  <c r="G10" i="57"/>
  <c r="L10" i="57"/>
  <c r="M10" i="57"/>
  <c r="N10" i="57"/>
  <c r="S10" i="57"/>
  <c r="T10" i="57"/>
  <c r="U10" i="57"/>
  <c r="V10" i="57"/>
  <c r="AA10" i="57"/>
  <c r="AB10" i="57"/>
  <c r="D11" i="57"/>
  <c r="E11" i="57"/>
  <c r="G11" i="57"/>
  <c r="L11" i="57"/>
  <c r="M11" i="57"/>
  <c r="N11" i="57"/>
  <c r="S11" i="57"/>
  <c r="T11" i="57"/>
  <c r="U11" i="57"/>
  <c r="V11" i="57"/>
  <c r="AA11" i="57"/>
  <c r="AB11" i="57"/>
  <c r="D12" i="57"/>
  <c r="E12" i="57"/>
  <c r="G12" i="57"/>
  <c r="L12" i="57"/>
  <c r="M12" i="57"/>
  <c r="N12" i="57"/>
  <c r="S12" i="57"/>
  <c r="T12" i="57"/>
  <c r="U12" i="57"/>
  <c r="V12" i="57"/>
  <c r="AA12" i="57"/>
  <c r="AB12" i="57"/>
  <c r="D13" i="57"/>
  <c r="E13" i="57"/>
  <c r="G13" i="57"/>
  <c r="L13" i="57"/>
  <c r="M13" i="57"/>
  <c r="N13" i="57"/>
  <c r="S13" i="57"/>
  <c r="T13" i="57"/>
  <c r="U13" i="57"/>
  <c r="V13" i="57"/>
  <c r="AA13" i="57"/>
  <c r="AB13" i="57"/>
  <c r="D14" i="57"/>
  <c r="E14" i="57"/>
  <c r="G14" i="57"/>
  <c r="L14" i="57"/>
  <c r="M14" i="57"/>
  <c r="N14" i="57"/>
  <c r="S14" i="57"/>
  <c r="T14" i="57"/>
  <c r="U14" i="57"/>
  <c r="V14" i="57"/>
  <c r="AA14" i="57"/>
  <c r="AB14" i="57"/>
  <c r="D15" i="57"/>
  <c r="E15" i="57"/>
  <c r="G15" i="57"/>
  <c r="L15" i="57"/>
  <c r="M15" i="57"/>
  <c r="N15" i="57"/>
  <c r="S15" i="57"/>
  <c r="T15" i="57"/>
  <c r="U15" i="57"/>
  <c r="V15" i="57"/>
  <c r="AA15" i="57"/>
  <c r="AB15" i="57"/>
  <c r="D16" i="57"/>
  <c r="E16" i="57"/>
  <c r="G16" i="57"/>
  <c r="L16" i="57"/>
  <c r="M16" i="57"/>
  <c r="N16" i="57"/>
  <c r="S16" i="57"/>
  <c r="T16" i="57"/>
  <c r="U16" i="57"/>
  <c r="V16" i="57"/>
  <c r="AA16" i="57"/>
  <c r="AB16" i="57"/>
  <c r="D17" i="57"/>
  <c r="E17" i="57"/>
  <c r="G17" i="57"/>
  <c r="L17" i="57"/>
  <c r="M17" i="57"/>
  <c r="N17" i="57"/>
  <c r="S17" i="57"/>
  <c r="T17" i="57"/>
  <c r="U17" i="57"/>
  <c r="V17" i="57"/>
  <c r="AA17" i="57"/>
  <c r="AB17" i="57"/>
  <c r="D18" i="57"/>
  <c r="E18" i="57"/>
  <c r="G18" i="57"/>
  <c r="L18" i="57"/>
  <c r="M18" i="57"/>
  <c r="N18" i="57"/>
  <c r="S18" i="57"/>
  <c r="T18" i="57"/>
  <c r="U18" i="57"/>
  <c r="V18" i="57"/>
  <c r="AA18" i="57"/>
  <c r="AB18" i="57"/>
  <c r="N19" i="57"/>
  <c r="F5" i="47"/>
  <c r="I5" i="47"/>
  <c r="Y5" i="47"/>
  <c r="F6" i="47"/>
  <c r="I6" i="47"/>
  <c r="Y6" i="47"/>
  <c r="F7" i="47"/>
  <c r="I7" i="47"/>
  <c r="Y7" i="47"/>
  <c r="F8" i="47"/>
  <c r="I8" i="47"/>
  <c r="Y8" i="47"/>
  <c r="F9" i="47"/>
  <c r="I9" i="47"/>
  <c r="Y9" i="47"/>
  <c r="F10" i="47"/>
  <c r="I10" i="47"/>
  <c r="Y10" i="47"/>
  <c r="F11" i="47"/>
  <c r="I11" i="47"/>
  <c r="Y11" i="47"/>
  <c r="F12" i="47"/>
  <c r="I12" i="47"/>
  <c r="Y12" i="47"/>
  <c r="F13" i="47"/>
  <c r="I13" i="47"/>
  <c r="Y13" i="47"/>
  <c r="F14" i="47"/>
  <c r="I14" i="47"/>
  <c r="Y14" i="47"/>
  <c r="F15" i="47"/>
  <c r="I15" i="47"/>
  <c r="Y15" i="47"/>
  <c r="F16" i="47"/>
  <c r="I16" i="47"/>
  <c r="Y16" i="47"/>
  <c r="F17" i="47"/>
  <c r="I17" i="47"/>
  <c r="Y17" i="47"/>
  <c r="F18" i="47"/>
  <c r="I18" i="47"/>
  <c r="Y18" i="47"/>
  <c r="F19" i="47"/>
  <c r="I19" i="47"/>
  <c r="Y19" i="47"/>
  <c r="F20" i="47"/>
  <c r="I20" i="47"/>
  <c r="Y20" i="47"/>
  <c r="Z20" i="47"/>
  <c r="F24" i="47"/>
  <c r="I24" i="47"/>
  <c r="F30" i="47"/>
  <c r="I30" i="47"/>
  <c r="X30" i="47"/>
  <c r="F31" i="47"/>
  <c r="I31" i="47"/>
  <c r="X31" i="47"/>
  <c r="F32" i="47"/>
  <c r="I32" i="47"/>
  <c r="X32" i="47"/>
  <c r="F33" i="47"/>
  <c r="I33" i="47"/>
  <c r="X33" i="47"/>
  <c r="F34" i="47"/>
  <c r="I34" i="47"/>
  <c r="X34" i="47"/>
  <c r="F35" i="47"/>
  <c r="I35" i="47"/>
  <c r="X35" i="47"/>
  <c r="F36" i="47"/>
  <c r="I36" i="47"/>
  <c r="X36" i="47"/>
  <c r="F37" i="47"/>
  <c r="I37" i="47"/>
  <c r="X37" i="47"/>
  <c r="F38" i="47"/>
  <c r="I38" i="47"/>
  <c r="X38" i="47"/>
  <c r="F39" i="47"/>
  <c r="I39" i="47"/>
  <c r="X39" i="47"/>
  <c r="F40" i="47"/>
  <c r="I40" i="47"/>
  <c r="X40" i="47"/>
  <c r="F41" i="47"/>
  <c r="I41" i="47"/>
  <c r="X41" i="47"/>
  <c r="F42" i="47"/>
  <c r="I42" i="47"/>
  <c r="X42" i="47"/>
  <c r="F43" i="47"/>
  <c r="I43" i="47"/>
  <c r="X43" i="47"/>
  <c r="F44" i="47"/>
  <c r="I44" i="47"/>
  <c r="X44" i="47"/>
  <c r="F48" i="47"/>
  <c r="I48" i="47"/>
  <c r="X48" i="47"/>
  <c r="F53" i="47"/>
  <c r="I53" i="47"/>
  <c r="F54" i="47"/>
  <c r="I54" i="47"/>
  <c r="F55" i="47"/>
  <c r="I55" i="47"/>
  <c r="F56" i="47"/>
  <c r="I56" i="47"/>
  <c r="F57" i="47"/>
  <c r="I57" i="47"/>
  <c r="F58" i="47"/>
  <c r="I58" i="47"/>
  <c r="F59" i="47"/>
  <c r="I59" i="47"/>
  <c r="F60" i="47"/>
  <c r="I60" i="47"/>
  <c r="F61" i="47"/>
  <c r="I61" i="47"/>
  <c r="F62" i="47"/>
  <c r="I62" i="47"/>
  <c r="F63" i="47"/>
  <c r="I63" i="47"/>
  <c r="F64" i="47"/>
  <c r="I64" i="47"/>
  <c r="F65" i="47"/>
  <c r="I65" i="47"/>
  <c r="F66" i="47"/>
  <c r="I66" i="47"/>
  <c r="F67" i="47"/>
  <c r="I67" i="47"/>
  <c r="F71" i="47"/>
  <c r="I71" i="47"/>
  <c r="C5" i="16"/>
  <c r="D5" i="16"/>
  <c r="E5" i="16"/>
  <c r="C6" i="16"/>
  <c r="D6" i="16"/>
  <c r="E6" i="16"/>
  <c r="C7" i="16"/>
  <c r="D7" i="16"/>
  <c r="E7" i="16"/>
  <c r="C8" i="16"/>
  <c r="C9" i="16"/>
  <c r="D9" i="16"/>
  <c r="E9" i="16"/>
  <c r="C10" i="16"/>
  <c r="D10" i="16"/>
  <c r="E10" i="16"/>
  <c r="C11" i="16"/>
  <c r="D11" i="16"/>
  <c r="E11" i="16"/>
  <c r="C12" i="16"/>
  <c r="D12" i="16"/>
  <c r="E12" i="16"/>
  <c r="C13" i="16"/>
  <c r="D13" i="16"/>
  <c r="E13" i="16"/>
  <c r="C14" i="16"/>
  <c r="D14" i="16"/>
  <c r="E14" i="16"/>
  <c r="C15" i="16"/>
  <c r="D15" i="16"/>
  <c r="E15" i="16"/>
  <c r="C16" i="16"/>
  <c r="D16" i="16"/>
  <c r="E16" i="16"/>
  <c r="C17" i="16"/>
  <c r="D17" i="16"/>
  <c r="E17" i="16"/>
  <c r="C18" i="16"/>
  <c r="D18" i="16"/>
  <c r="E18" i="16"/>
  <c r="C19" i="16"/>
  <c r="D19" i="16"/>
  <c r="E19" i="16"/>
  <c r="C20" i="16"/>
  <c r="D20" i="16"/>
  <c r="E20" i="16"/>
  <c r="J5" i="14"/>
  <c r="L5" i="14"/>
  <c r="N5" i="14"/>
  <c r="T5" i="14"/>
  <c r="W5" i="14"/>
  <c r="AD5" i="14"/>
  <c r="J6" i="14"/>
  <c r="L6" i="14"/>
  <c r="N6" i="14"/>
  <c r="T6" i="14"/>
  <c r="W6" i="14"/>
  <c r="AD6" i="14"/>
  <c r="J7" i="14"/>
  <c r="L7" i="14"/>
  <c r="N7" i="14"/>
  <c r="T7" i="14"/>
  <c r="W7" i="14"/>
  <c r="AD7" i="14"/>
  <c r="J8" i="14"/>
  <c r="L8" i="14"/>
  <c r="N8" i="14"/>
  <c r="O8" i="14"/>
  <c r="T8" i="14"/>
  <c r="W8" i="14"/>
  <c r="AD8" i="14"/>
  <c r="J9" i="14"/>
  <c r="L9" i="14"/>
  <c r="N9" i="14"/>
  <c r="T9" i="14"/>
  <c r="W9" i="14"/>
  <c r="AD9" i="14"/>
  <c r="J10" i="14"/>
  <c r="L10" i="14"/>
  <c r="N10" i="14"/>
  <c r="T10" i="14"/>
  <c r="W10" i="14"/>
  <c r="AD10" i="14"/>
  <c r="J11" i="14"/>
  <c r="L11" i="14"/>
  <c r="N11" i="14"/>
  <c r="T11" i="14"/>
  <c r="W11" i="14"/>
  <c r="AD11" i="14"/>
  <c r="J12" i="14"/>
  <c r="L12" i="14"/>
  <c r="N12" i="14"/>
  <c r="T12" i="14"/>
  <c r="W12" i="14"/>
  <c r="AD12" i="14"/>
  <c r="J13" i="14"/>
  <c r="L13" i="14"/>
  <c r="N13" i="14"/>
  <c r="T13" i="14"/>
  <c r="W13" i="14"/>
  <c r="AD13" i="14"/>
  <c r="J14" i="14"/>
  <c r="L14" i="14"/>
  <c r="N14" i="14"/>
  <c r="T14" i="14"/>
  <c r="W14" i="14"/>
  <c r="AD14" i="14"/>
  <c r="J15" i="14"/>
  <c r="L15" i="14"/>
  <c r="N15" i="14"/>
  <c r="T15" i="14"/>
  <c r="W15" i="14"/>
  <c r="AD15" i="14"/>
  <c r="J16" i="14"/>
  <c r="L16" i="14"/>
  <c r="N16" i="14"/>
  <c r="T16" i="14"/>
  <c r="W16" i="14"/>
  <c r="AD16" i="14"/>
  <c r="J17" i="14"/>
  <c r="L17" i="14"/>
  <c r="N17" i="14"/>
  <c r="T17" i="14"/>
  <c r="W17" i="14"/>
  <c r="AD17" i="14"/>
  <c r="J18" i="14"/>
  <c r="L18" i="14"/>
  <c r="N18" i="14"/>
  <c r="T18" i="14"/>
  <c r="W18" i="14"/>
  <c r="AD18" i="14"/>
  <c r="J19" i="14"/>
  <c r="L19" i="14"/>
  <c r="N19" i="14"/>
  <c r="T19" i="14"/>
  <c r="W19" i="14"/>
  <c r="AD19" i="14"/>
  <c r="J20" i="14"/>
  <c r="L20" i="14"/>
  <c r="N20" i="14"/>
  <c r="T20" i="14"/>
  <c r="W20" i="14"/>
  <c r="AD20" i="14"/>
  <c r="J25" i="14"/>
  <c r="L25" i="14"/>
  <c r="N25" i="14"/>
  <c r="T25" i="14"/>
  <c r="W25" i="14"/>
  <c r="AD25" i="14"/>
  <c r="J26" i="14"/>
  <c r="L26" i="14"/>
  <c r="N26" i="14"/>
  <c r="T26" i="14"/>
  <c r="W26" i="14"/>
  <c r="AD26" i="14"/>
  <c r="J27" i="14"/>
  <c r="L27" i="14"/>
  <c r="N27" i="14"/>
  <c r="T27" i="14"/>
  <c r="W27" i="14"/>
  <c r="AD27" i="14"/>
  <c r="J28" i="14"/>
  <c r="L28" i="14"/>
  <c r="N28" i="14"/>
  <c r="T28" i="14"/>
  <c r="W28" i="14"/>
  <c r="AD28" i="14"/>
  <c r="J29" i="14"/>
  <c r="L29" i="14"/>
  <c r="N29" i="14"/>
  <c r="T29" i="14"/>
  <c r="W29" i="14"/>
  <c r="AD29" i="14"/>
  <c r="J30" i="14"/>
  <c r="L30" i="14"/>
  <c r="N30" i="14"/>
  <c r="T30" i="14"/>
  <c r="W30" i="14"/>
  <c r="AD30" i="14"/>
  <c r="J31" i="14"/>
  <c r="L31" i="14"/>
  <c r="N31" i="14"/>
  <c r="T31" i="14"/>
  <c r="W31" i="14"/>
  <c r="AD31" i="14"/>
  <c r="J32" i="14"/>
  <c r="L32" i="14"/>
  <c r="N32" i="14"/>
  <c r="T32" i="14"/>
  <c r="W32" i="14"/>
  <c r="AD32" i="14"/>
  <c r="J33" i="14"/>
  <c r="L33" i="14"/>
  <c r="N33" i="14"/>
  <c r="T33" i="14"/>
  <c r="W33" i="14"/>
  <c r="AD33" i="14"/>
  <c r="J34" i="14"/>
  <c r="L34" i="14"/>
  <c r="N34" i="14"/>
  <c r="T34" i="14"/>
  <c r="W34" i="14"/>
  <c r="AD34" i="14"/>
  <c r="J35" i="14"/>
  <c r="L35" i="14"/>
  <c r="N35" i="14"/>
  <c r="T35" i="14"/>
  <c r="W35" i="14"/>
  <c r="AD35" i="14"/>
  <c r="J36" i="14"/>
  <c r="L36" i="14"/>
  <c r="N36" i="14"/>
  <c r="T36" i="14"/>
  <c r="W36" i="14"/>
  <c r="AD36" i="14"/>
  <c r="J37" i="14"/>
  <c r="L37" i="14"/>
  <c r="N37" i="14"/>
  <c r="T37" i="14"/>
  <c r="W37" i="14"/>
  <c r="AD37" i="14"/>
  <c r="J38" i="14"/>
  <c r="L38" i="14"/>
  <c r="N38" i="14"/>
  <c r="T38" i="14"/>
  <c r="W38" i="14"/>
  <c r="AD38" i="14"/>
  <c r="J39" i="14"/>
  <c r="L39" i="14"/>
  <c r="N39" i="14"/>
  <c r="T39" i="14"/>
  <c r="W39" i="14"/>
  <c r="AD39" i="14"/>
  <c r="J44" i="14"/>
  <c r="L44" i="14"/>
  <c r="N44" i="14"/>
  <c r="T44" i="14"/>
  <c r="W44" i="14"/>
  <c r="AD44" i="14"/>
  <c r="J45" i="14"/>
  <c r="L45" i="14"/>
  <c r="N45" i="14"/>
  <c r="T45" i="14"/>
  <c r="W45" i="14"/>
  <c r="AD45" i="14"/>
  <c r="J46" i="14"/>
  <c r="L46" i="14"/>
  <c r="N46" i="14"/>
  <c r="T46" i="14"/>
  <c r="W46" i="14"/>
  <c r="AD46" i="14"/>
  <c r="J47" i="14"/>
  <c r="L47" i="14"/>
  <c r="N47" i="14"/>
  <c r="T47" i="14"/>
  <c r="W47" i="14"/>
  <c r="AD47" i="14"/>
  <c r="J48" i="14"/>
  <c r="L48" i="14"/>
  <c r="N48" i="14"/>
  <c r="T48" i="14"/>
  <c r="W48" i="14"/>
  <c r="AD48" i="14"/>
  <c r="J49" i="14"/>
  <c r="L49" i="14"/>
  <c r="N49" i="14"/>
  <c r="T49" i="14"/>
  <c r="W49" i="14"/>
  <c r="AD49" i="14"/>
  <c r="J50" i="14"/>
  <c r="L50" i="14"/>
  <c r="N50" i="14"/>
  <c r="T50" i="14"/>
  <c r="W50" i="14"/>
  <c r="AD50" i="14"/>
  <c r="J51" i="14"/>
  <c r="L51" i="14"/>
  <c r="N51" i="14"/>
  <c r="T51" i="14"/>
  <c r="W51" i="14"/>
  <c r="AD51" i="14"/>
  <c r="J52" i="14"/>
  <c r="L52" i="14"/>
  <c r="N52" i="14"/>
  <c r="T52" i="14"/>
  <c r="W52" i="14"/>
  <c r="AD52" i="14"/>
  <c r="J53" i="14"/>
  <c r="L53" i="14"/>
  <c r="N53" i="14"/>
  <c r="T53" i="14"/>
  <c r="W53" i="14"/>
  <c r="AD53" i="14"/>
  <c r="J54" i="14"/>
  <c r="L54" i="14"/>
  <c r="N54" i="14"/>
  <c r="T54" i="14"/>
  <c r="W54" i="14"/>
  <c r="AD54" i="14"/>
  <c r="J55" i="14"/>
  <c r="L55" i="14"/>
  <c r="N55" i="14"/>
  <c r="T55" i="14"/>
  <c r="W55" i="14"/>
  <c r="AD55" i="14"/>
  <c r="J56" i="14"/>
  <c r="L56" i="14"/>
  <c r="N56" i="14"/>
  <c r="T56" i="14"/>
  <c r="W56" i="14"/>
  <c r="AD56" i="14"/>
  <c r="J57" i="14"/>
  <c r="L57" i="14"/>
  <c r="N57" i="14"/>
  <c r="T57" i="14"/>
  <c r="W57" i="14"/>
  <c r="AD57" i="14"/>
  <c r="J58" i="14"/>
  <c r="L58" i="14"/>
  <c r="N58" i="14"/>
  <c r="T58" i="14"/>
  <c r="W58" i="14"/>
  <c r="AD58" i="14"/>
  <c r="E7" i="58"/>
  <c r="F7" i="58"/>
  <c r="E10" i="58"/>
  <c r="F10" i="58"/>
  <c r="H10" i="58"/>
  <c r="I10" i="58"/>
  <c r="E13" i="58"/>
  <c r="F13" i="58"/>
  <c r="H13" i="58"/>
  <c r="I13" i="58"/>
  <c r="C17" i="58"/>
  <c r="F17" i="58"/>
  <c r="V4" i="56"/>
  <c r="W4" i="56"/>
  <c r="AO4" i="56"/>
  <c r="AP4" i="56"/>
  <c r="AR4" i="56"/>
  <c r="V5" i="56"/>
  <c r="W5" i="56"/>
  <c r="AO5" i="56"/>
  <c r="AP5" i="56"/>
  <c r="AR5" i="56"/>
  <c r="V6" i="56"/>
  <c r="W6" i="56"/>
  <c r="AO6" i="56"/>
  <c r="AP6" i="56"/>
  <c r="AR6" i="56"/>
  <c r="V7" i="56"/>
  <c r="W7" i="56"/>
  <c r="AO7" i="56"/>
  <c r="AP7" i="56"/>
  <c r="AR7" i="56"/>
  <c r="V8" i="56"/>
  <c r="W8" i="56"/>
  <c r="AO8" i="56"/>
  <c r="AP8" i="56"/>
  <c r="AR8" i="56"/>
  <c r="AX8" i="56"/>
  <c r="AY8" i="56"/>
  <c r="V9" i="56"/>
  <c r="W9" i="56"/>
  <c r="AO9" i="56"/>
  <c r="AP9" i="56"/>
  <c r="AR9" i="56"/>
  <c r="BC9" i="56"/>
  <c r="BD9" i="56"/>
  <c r="BE9" i="56"/>
  <c r="V10" i="56"/>
  <c r="W10" i="56"/>
  <c r="AO10" i="56"/>
  <c r="AP10" i="56"/>
  <c r="AR10" i="56"/>
  <c r="V11" i="56"/>
  <c r="W11" i="56"/>
  <c r="AO11" i="56"/>
  <c r="AP11" i="56"/>
  <c r="AR11" i="56"/>
  <c r="V12" i="56"/>
  <c r="W12" i="56"/>
  <c r="AO12" i="56"/>
  <c r="AP12" i="56"/>
  <c r="AR12" i="56"/>
  <c r="AX12" i="56"/>
  <c r="AY12" i="56"/>
  <c r="BC12" i="56"/>
  <c r="BD12" i="56"/>
  <c r="BE12" i="56"/>
  <c r="V13" i="56"/>
  <c r="W13" i="56"/>
  <c r="AO13" i="56"/>
  <c r="AP13" i="56"/>
  <c r="AR13" i="56"/>
  <c r="V14" i="56"/>
  <c r="W14" i="56"/>
  <c r="AO14" i="56"/>
  <c r="AP14" i="56"/>
  <c r="AR14" i="56"/>
  <c r="V15" i="56"/>
  <c r="W15" i="56"/>
  <c r="AO15" i="56"/>
  <c r="AP15" i="56"/>
  <c r="AR15" i="56"/>
  <c r="AX15" i="56"/>
  <c r="AY15" i="56"/>
  <c r="BC15" i="56"/>
  <c r="BD15" i="56"/>
  <c r="BE15" i="56"/>
  <c r="V16" i="56"/>
  <c r="W16" i="56"/>
  <c r="AO16" i="56"/>
  <c r="AP16" i="56"/>
  <c r="AR16" i="56"/>
  <c r="V17" i="56"/>
  <c r="W17" i="56"/>
  <c r="AO17" i="56"/>
  <c r="AP17" i="56"/>
  <c r="AR17" i="56"/>
  <c r="V18" i="56"/>
  <c r="W18" i="56"/>
  <c r="AO18" i="56"/>
  <c r="AP18" i="56"/>
  <c r="AR18" i="56"/>
  <c r="V19" i="56"/>
  <c r="W19" i="56"/>
  <c r="AO19" i="56"/>
  <c r="AP19" i="56"/>
  <c r="AR19" i="56"/>
  <c r="AT19" i="56"/>
  <c r="AR20" i="56"/>
  <c r="AR21" i="56"/>
  <c r="V24" i="56"/>
  <c r="W24" i="56"/>
  <c r="AO24" i="56"/>
  <c r="AP24" i="56"/>
  <c r="V25" i="56"/>
  <c r="W25" i="56"/>
  <c r="AO25" i="56"/>
  <c r="AP25" i="56"/>
  <c r="V26" i="56"/>
  <c r="W26" i="56"/>
  <c r="AO26" i="56"/>
  <c r="AP26" i="56"/>
  <c r="AX26" i="56"/>
  <c r="AY26" i="56"/>
  <c r="V28" i="56"/>
  <c r="W28" i="56"/>
  <c r="AO28" i="56"/>
  <c r="AP28" i="56"/>
  <c r="V29" i="56"/>
  <c r="W29" i="56"/>
  <c r="AO29" i="56"/>
  <c r="AP29" i="56"/>
  <c r="V30" i="56"/>
  <c r="W30" i="56"/>
  <c r="AO30" i="56"/>
  <c r="AP30" i="56"/>
  <c r="AX30" i="56"/>
  <c r="V31" i="56"/>
  <c r="W31" i="56"/>
  <c r="AO31" i="56"/>
  <c r="AP31" i="56"/>
  <c r="V32" i="56"/>
  <c r="W32" i="56"/>
  <c r="AO32" i="56"/>
  <c r="AP32" i="56"/>
  <c r="V33" i="56"/>
  <c r="W33" i="56"/>
  <c r="AO33" i="56"/>
  <c r="AP33" i="56"/>
  <c r="AX33" i="56"/>
  <c r="V34" i="56"/>
  <c r="W34" i="56"/>
  <c r="AO34" i="56"/>
  <c r="AP34" i="56"/>
  <c r="V35" i="56"/>
  <c r="W35" i="56"/>
  <c r="AO35" i="56"/>
  <c r="AP35" i="56"/>
  <c r="V36" i="56"/>
  <c r="W36" i="56"/>
  <c r="AO36" i="56"/>
  <c r="AP36" i="56"/>
  <c r="V37" i="56"/>
  <c r="W37" i="56"/>
  <c r="AO37" i="56"/>
  <c r="AP37" i="56"/>
  <c r="V38" i="56"/>
  <c r="W38" i="56"/>
  <c r="AO38" i="56"/>
  <c r="AP38" i="56"/>
  <c r="V39" i="56"/>
  <c r="W39" i="56"/>
  <c r="AO39" i="56"/>
  <c r="AP39" i="56"/>
  <c r="V44" i="56"/>
  <c r="W44" i="56"/>
  <c r="AO44" i="56"/>
  <c r="AP44" i="56"/>
  <c r="V45" i="56"/>
  <c r="W45" i="56"/>
  <c r="AO45" i="56"/>
  <c r="AP45" i="56"/>
  <c r="V46" i="56"/>
  <c r="W46" i="56"/>
  <c r="AO46" i="56"/>
  <c r="AP46" i="56"/>
  <c r="V47" i="56"/>
  <c r="W47" i="56"/>
  <c r="AO47" i="56"/>
  <c r="AP47" i="56"/>
  <c r="AX47" i="56"/>
  <c r="AY47" i="56"/>
  <c r="V48" i="56"/>
  <c r="W48" i="56"/>
  <c r="AO48" i="56"/>
  <c r="AP48" i="56"/>
  <c r="V49" i="56"/>
  <c r="W49" i="56"/>
  <c r="AO49" i="56"/>
  <c r="AP49" i="56"/>
  <c r="V50" i="56"/>
  <c r="W50" i="56"/>
  <c r="AO50" i="56"/>
  <c r="AP50" i="56"/>
  <c r="AX50" i="56"/>
  <c r="AY50" i="56"/>
  <c r="V51" i="56"/>
  <c r="W51" i="56"/>
  <c r="AO51" i="56"/>
  <c r="AP51" i="56"/>
  <c r="V52" i="56"/>
  <c r="W52" i="56"/>
  <c r="AO52" i="56"/>
  <c r="AP52" i="56"/>
  <c r="V53" i="56"/>
  <c r="W53" i="56"/>
  <c r="AO53" i="56"/>
  <c r="AP53" i="56"/>
  <c r="AX53" i="56"/>
  <c r="AY53" i="56"/>
  <c r="AZ53" i="56"/>
  <c r="V54" i="56"/>
  <c r="W54" i="56"/>
  <c r="AO54" i="56"/>
  <c r="AP54" i="56"/>
  <c r="V55" i="56"/>
  <c r="W55" i="56"/>
  <c r="AO55" i="56"/>
  <c r="AP55" i="56"/>
  <c r="V56" i="56"/>
  <c r="W56" i="56"/>
  <c r="AO56" i="56"/>
  <c r="AP56" i="56"/>
  <c r="V57" i="56"/>
  <c r="W57" i="56"/>
  <c r="AO57" i="56"/>
  <c r="AP57" i="56"/>
  <c r="V58" i="56"/>
  <c r="W58" i="56"/>
  <c r="AO58" i="56"/>
  <c r="AP58" i="56"/>
</calcChain>
</file>

<file path=xl/sharedStrings.xml><?xml version="1.0" encoding="utf-8"?>
<sst xmlns="http://schemas.openxmlformats.org/spreadsheetml/2006/main" count="2389" uniqueCount="495">
  <si>
    <t>2023-24</t>
  </si>
  <si>
    <t>S.No.</t>
  </si>
  <si>
    <t xml:space="preserve">Station </t>
  </si>
  <si>
    <t>GFA As 01.04.2022</t>
  </si>
  <si>
    <t>KTPS-V</t>
  </si>
  <si>
    <t>KTPS-VI</t>
  </si>
  <si>
    <t>KTPS-VII</t>
  </si>
  <si>
    <t>RTS-B</t>
  </si>
  <si>
    <t>KTPP-I</t>
  </si>
  <si>
    <t>KTPP-II</t>
  </si>
  <si>
    <t>BTPS</t>
  </si>
  <si>
    <t>Nagarjuna Complex</t>
  </si>
  <si>
    <t>Srisailam LB</t>
  </si>
  <si>
    <t>Small Hydel</t>
  </si>
  <si>
    <t>Mini Hydel</t>
  </si>
  <si>
    <t>Pochampad- II</t>
  </si>
  <si>
    <t>Priyadarshini Jurala</t>
  </si>
  <si>
    <t>Lower Jurala</t>
  </si>
  <si>
    <t>Pulichintala</t>
  </si>
  <si>
    <t>Total</t>
  </si>
  <si>
    <t>GFA As 01.04.2023</t>
  </si>
  <si>
    <t>Station</t>
  </si>
  <si>
    <t>Accumulated Dep as on 01.04.2014</t>
  </si>
  <si>
    <t>Accumulated Dep as on 01.04.2019</t>
  </si>
  <si>
    <t>Nagarjuna Sagar Complex           (Main &amp; Left canal power House)</t>
  </si>
  <si>
    <t>Srisailam LBHES</t>
  </si>
  <si>
    <t>Small Hydel (Pochampad -I, Singur, Nizam Sagar&amp; Palair  HES)</t>
  </si>
  <si>
    <t>Mini Hydel (Peddapally)</t>
  </si>
  <si>
    <t xml:space="preserve"> Pochampad -II</t>
  </si>
  <si>
    <t>Priyadarshini Jurala HES</t>
  </si>
  <si>
    <t>Lower Jurala HES</t>
  </si>
  <si>
    <t>Pulichinthala HES</t>
  </si>
  <si>
    <t xml:space="preserve">Total </t>
  </si>
  <si>
    <t>90% Depreciable value</t>
  </si>
  <si>
    <t>Balance life considered/ Rate consd.</t>
  </si>
  <si>
    <t>Station Name</t>
  </si>
  <si>
    <t>KTPP I</t>
  </si>
  <si>
    <t>KTPP II</t>
  </si>
  <si>
    <t>KTPS V</t>
  </si>
  <si>
    <t>KTPS VI</t>
  </si>
  <si>
    <t>KTPS VII</t>
  </si>
  <si>
    <t>NSHES</t>
  </si>
  <si>
    <t>SLBHES</t>
  </si>
  <si>
    <t>PJHES</t>
  </si>
  <si>
    <t>LJHES</t>
  </si>
  <si>
    <t>PCHES</t>
  </si>
  <si>
    <t>Note:</t>
  </si>
  <si>
    <t>R&amp;M</t>
  </si>
  <si>
    <t>O&amp;M</t>
  </si>
  <si>
    <t>DEPRECIATION</t>
  </si>
  <si>
    <t>INTEREST ON LOAN</t>
  </si>
  <si>
    <t>ROE</t>
  </si>
  <si>
    <t>RETURN ON EQUITY</t>
  </si>
  <si>
    <t>Plus 150 bp</t>
  </si>
  <si>
    <t>Fixed Charges</t>
  </si>
  <si>
    <t>Capacity (MW)</t>
  </si>
  <si>
    <t>O&amp;M 
(1 Month)</t>
  </si>
  <si>
    <t>Working Capital Base</t>
  </si>
  <si>
    <t>Rate of Interest</t>
  </si>
  <si>
    <t>Interest on working capital</t>
  </si>
  <si>
    <t>Dep'n</t>
  </si>
  <si>
    <t>Int. on Loan</t>
  </si>
  <si>
    <t>IoWC</t>
  </si>
  <si>
    <t>Total Fixed Charges</t>
  </si>
  <si>
    <t>Total Revenue</t>
  </si>
  <si>
    <t>Norm. Availability</t>
  </si>
  <si>
    <t>-</t>
  </si>
  <si>
    <t>Coal Rate</t>
  </si>
  <si>
    <t>Oil Rate</t>
  </si>
  <si>
    <t>Less: Fuel Payable for 30 days</t>
  </si>
  <si>
    <t>Coal charges</t>
  </si>
  <si>
    <t>Oil Charges</t>
  </si>
  <si>
    <t>INTEREST ON WORKING CAPITAL</t>
  </si>
  <si>
    <t>Non-Tariff Income</t>
  </si>
  <si>
    <t>Addl'n Pens. Liab</t>
  </si>
  <si>
    <t>Water charges</t>
  </si>
  <si>
    <t>FY 2023-24</t>
  </si>
  <si>
    <t>Particulars</t>
  </si>
  <si>
    <t>ECR</t>
  </si>
  <si>
    <t>scheduled energy</t>
  </si>
  <si>
    <t>Interest Rates</t>
  </si>
  <si>
    <t>Actual loan portfolio</t>
  </si>
  <si>
    <t>Cost of Coal for Generation (30 days)</t>
  </si>
  <si>
    <t>SBI MCLR-1 year</t>
  </si>
  <si>
    <t>Op. Loan Base</t>
  </si>
  <si>
    <t>Avg. Loan Base</t>
  </si>
  <si>
    <t>ROI (%)</t>
  </si>
  <si>
    <t>Pre-Tax ROE (%)</t>
  </si>
  <si>
    <t>Total ROE</t>
  </si>
  <si>
    <t>Accumulated Dep as on 01.04.2023</t>
  </si>
  <si>
    <t>Gross Fixed Assets ( GFA) with Additions</t>
  </si>
  <si>
    <t>Equity Portion of Capitalisation during Year</t>
  </si>
  <si>
    <t>Regulatory Equity at the End of Year</t>
  </si>
  <si>
    <t>70% of additions</t>
  </si>
  <si>
    <t>Total Dep.</t>
  </si>
  <si>
    <t>Normative Loan ROI</t>
  </si>
  <si>
    <t>In case of stations where actual loan is not available, interest rates approved for FY 2021 - 22 in MTR Dt.23.03.2023 are considered.</t>
  </si>
  <si>
    <t>Normative Loan, ROI as per True - up Filings for FY 2022-23 Rates were considered.</t>
  </si>
  <si>
    <t>NTI</t>
  </si>
  <si>
    <t>Variable Charges</t>
  </si>
  <si>
    <t>FY 2022-23</t>
  </si>
  <si>
    <t>FY 2019-20</t>
  </si>
  <si>
    <t>FY 2020-21</t>
  </si>
  <si>
    <t xml:space="preserve">Depreciation  for FY 2023-24 </t>
  </si>
  <si>
    <t>Interest on Working Capital</t>
  </si>
  <si>
    <t>TGGENCO</t>
  </si>
  <si>
    <t>Actual Additions in FY 2022-23</t>
  </si>
  <si>
    <t>Actual Additions in FY 2023-24</t>
  </si>
  <si>
    <t>FY 2014-15</t>
  </si>
  <si>
    <t>FY 2015-16</t>
  </si>
  <si>
    <t>FY 2016-17</t>
  </si>
  <si>
    <t>FY 2017-18</t>
  </si>
  <si>
    <t>FY 2018-19</t>
  </si>
  <si>
    <t>Balance depreciable value</t>
  </si>
  <si>
    <t>Accumulated Depreciation as on 01.04.2023</t>
  </si>
  <si>
    <t>Depreciation on Opening Assets</t>
  </si>
  <si>
    <t>Depreciation On Additions (Avg. for the year)</t>
  </si>
  <si>
    <t>Rs. in Crore</t>
  </si>
  <si>
    <t>Closing Loan Base</t>
  </si>
  <si>
    <t>Interest on Loan</t>
  </si>
  <si>
    <t>Interest on Loan (FY 2023-24)</t>
  </si>
  <si>
    <t>Effective tax rate</t>
  </si>
  <si>
    <t>RoE on additions for FY 2023-24</t>
  </si>
  <si>
    <t>Opening Equity Base (30% of Op. GFA)</t>
  </si>
  <si>
    <t>ROE on Opening equity</t>
  </si>
  <si>
    <t>Return on Equity (FY 2023-24)</t>
  </si>
  <si>
    <t>DEP'N</t>
  </si>
  <si>
    <t>INT. ON LOAN</t>
  </si>
  <si>
    <t>IOWC</t>
  </si>
  <si>
    <t>TOTAL FC</t>
  </si>
  <si>
    <t>GFA As 01.04.2024</t>
  </si>
  <si>
    <t>GFA As 01.04.2025</t>
  </si>
  <si>
    <t>Depreciation for FY 2023-24</t>
  </si>
  <si>
    <t>Depreciation  for FY 2024-25</t>
  </si>
  <si>
    <t>Depreciation  for FY 2025-26</t>
  </si>
  <si>
    <t>Depreciation  for FY 2026-27</t>
  </si>
  <si>
    <t>2024-25</t>
  </si>
  <si>
    <t>2025-26</t>
  </si>
  <si>
    <t>2026-27</t>
  </si>
  <si>
    <t>Accumulated Depreciation as on 01.04.2024</t>
  </si>
  <si>
    <t>COD</t>
  </si>
  <si>
    <t>Balance Life</t>
  </si>
  <si>
    <t>Accumulated Depreciation as on 01.04.2025</t>
  </si>
  <si>
    <t>GFA As 01.04.2026</t>
  </si>
  <si>
    <t>Depreciation for FY 2024-25</t>
  </si>
  <si>
    <t>Depreciation for FY 2025-26</t>
  </si>
  <si>
    <t>Accumulated Depreciation as on 01.04.2026</t>
  </si>
  <si>
    <t>Depreciation for FY 2026-27</t>
  </si>
  <si>
    <t>Additions in 24-25</t>
  </si>
  <si>
    <t>Acc. Dep'n as on 01.04.2024</t>
  </si>
  <si>
    <t>Depreciation in 24-25</t>
  </si>
  <si>
    <t>Net Fixed Assets as on 01.04.2024</t>
  </si>
  <si>
    <t>Net Fixed Assets as on 31.03.2025</t>
  </si>
  <si>
    <t>Return on Equity (FY 2024-25)</t>
  </si>
  <si>
    <t>Additions in 25-26</t>
  </si>
  <si>
    <t>Acc. Dep'n as on 01.04.2025</t>
  </si>
  <si>
    <t>Depreciation in 25-26</t>
  </si>
  <si>
    <t>Net Fixed Assets as on 01.04.2025</t>
  </si>
  <si>
    <t>Net Fixed Assets as on 31.03.2026</t>
  </si>
  <si>
    <t>Return on Equity (FY 2025-26)</t>
  </si>
  <si>
    <t>Additions in 26-27</t>
  </si>
  <si>
    <t>Acc. Dep'n as on 01.04.2026</t>
  </si>
  <si>
    <t>Depreciation in 26-27</t>
  </si>
  <si>
    <t>Net Fixed Assets as on 01.04.2026</t>
  </si>
  <si>
    <t>Net Fixed Assets as on 31.03.2027</t>
  </si>
  <si>
    <t>Return on Equity (FY 2026-27)</t>
  </si>
  <si>
    <t>Interest on Loan (FY 2024-25)</t>
  </si>
  <si>
    <t>Interest on Loan (FY 2025-26)</t>
  </si>
  <si>
    <t>Maintenance Spares-1%GFA</t>
  </si>
  <si>
    <t>GFA as on 01.04.24</t>
  </si>
  <si>
    <t>GFA as on 01.04.25</t>
  </si>
  <si>
    <t>GFA as on 01.04.26</t>
  </si>
  <si>
    <t>Receivables
(45 days)</t>
  </si>
  <si>
    <t>Cost of Coal for Storage (20 days)</t>
  </si>
  <si>
    <t>Cost of Secondary fuel Oil for 1 month</t>
  </si>
  <si>
    <t>FY 2025-26</t>
  </si>
  <si>
    <t>Water Charges</t>
  </si>
  <si>
    <t>2027-28</t>
  </si>
  <si>
    <t>2028-29</t>
  </si>
  <si>
    <t>Total-5Y</t>
  </si>
  <si>
    <t>Total Estimated Pension (A)</t>
  </si>
  <si>
    <t>Schedule Principal (B)</t>
  </si>
  <si>
    <t>Schedule Interest (C)</t>
  </si>
  <si>
    <t>Over and above schedule pension / Additional Interest on Pension Bond (A-B-C)</t>
  </si>
  <si>
    <t>As per Bond Schedules:</t>
  </si>
  <si>
    <t>Bond-I</t>
  </si>
  <si>
    <t>Principal</t>
  </si>
  <si>
    <t>Interest</t>
  </si>
  <si>
    <t>Bond-II</t>
  </si>
  <si>
    <t>Bond-I + II</t>
  </si>
  <si>
    <t>FY 2026-27</t>
  </si>
  <si>
    <t>Fixed Charges from FY 24-25</t>
  </si>
  <si>
    <t>Fixed Charges from FY 25-26</t>
  </si>
  <si>
    <t>Fixed Charges from FY 26-27</t>
  </si>
  <si>
    <t>Component wise Fixed Charges for FY 2025-26</t>
  </si>
  <si>
    <t>Total Charges</t>
  </si>
  <si>
    <t>Approved</t>
  </si>
  <si>
    <t>Depreciation</t>
  </si>
  <si>
    <t>Interest and Finance Charges on Loan</t>
  </si>
  <si>
    <t>O&amp;M Expenses</t>
  </si>
  <si>
    <t>Approved Fixed Charges for FY 2024-25</t>
  </si>
  <si>
    <t>Return on Equity</t>
  </si>
  <si>
    <t>Net Total</t>
  </si>
  <si>
    <t>AFC FY 2024-25</t>
  </si>
  <si>
    <t>Additional Interest on Pension Bonds</t>
  </si>
  <si>
    <t>Approved Fixed Charges for FY 2025-26</t>
  </si>
  <si>
    <t>As filed</t>
  </si>
  <si>
    <t>As</t>
  </si>
  <si>
    <t>filed</t>
  </si>
  <si>
    <t>Approve</t>
  </si>
  <si>
    <t>d</t>
  </si>
  <si>
    <t>AFC approved for FY 2026-27</t>
  </si>
  <si>
    <t>Thermal</t>
  </si>
  <si>
    <t>Hydro</t>
  </si>
  <si>
    <t>Nagarjuna</t>
  </si>
  <si>
    <t>Pochampad II</t>
  </si>
  <si>
    <t>Additions</t>
  </si>
  <si>
    <t>25-26</t>
  </si>
  <si>
    <t>FY 2027-28</t>
  </si>
  <si>
    <t>Quarters at KTPS-VII</t>
  </si>
  <si>
    <t>Crore</t>
  </si>
  <si>
    <t>Coal Shed</t>
  </si>
  <si>
    <t>Ash Pond Bunds</t>
  </si>
  <si>
    <t xml:space="preserve">Storage Racks </t>
  </si>
  <si>
    <t>Transformer</t>
  </si>
  <si>
    <t>Ash Pond works</t>
  </si>
  <si>
    <t>ERW Pipes</t>
  </si>
  <si>
    <t>KTPP-</t>
  </si>
  <si>
    <t>Dozers</t>
  </si>
  <si>
    <t>Quarters</t>
  </si>
  <si>
    <t xml:space="preserve">Additional Capitalisation details proposed filed </t>
  </si>
  <si>
    <t>Sl.No</t>
  </si>
  <si>
    <t>Name of the work</t>
  </si>
  <si>
    <t>Amount</t>
  </si>
  <si>
    <t xml:space="preserve">Capitalisation </t>
  </si>
  <si>
    <t>Filed with TGERC</t>
  </si>
  <si>
    <t>Coal Shed at BTPS</t>
  </si>
  <si>
    <t>crore</t>
  </si>
  <si>
    <t>Non-EPC Civil Works</t>
  </si>
  <si>
    <t>KTPS-VII Quarters</t>
  </si>
  <si>
    <t>KTPS Storage Racks</t>
  </si>
  <si>
    <t>Coal Shed KTPP-II</t>
  </si>
  <si>
    <t>Generator Transformer BTPS</t>
  </si>
  <si>
    <t>ERW Pipes KTPP-II</t>
  </si>
  <si>
    <t>SBI Interest</t>
  </si>
  <si>
    <t>15.08.2025</t>
  </si>
  <si>
    <t>15.07.2024</t>
  </si>
  <si>
    <t>15.06.2024</t>
  </si>
  <si>
    <t>15.05.2024</t>
  </si>
  <si>
    <t>15.07.2025</t>
  </si>
  <si>
    <t>15.06.2025</t>
  </si>
  <si>
    <t>15.05.2025</t>
  </si>
  <si>
    <t>15.03.2025</t>
  </si>
  <si>
    <t>15.04.2025</t>
  </si>
  <si>
    <t>15.02.2025</t>
  </si>
  <si>
    <t>15.01.2025</t>
  </si>
  <si>
    <t>15.12.2024</t>
  </si>
  <si>
    <t>15.11.2024</t>
  </si>
  <si>
    <t>15.10.2024</t>
  </si>
  <si>
    <t>15.09.2024</t>
  </si>
  <si>
    <t>15.08.2024</t>
  </si>
  <si>
    <t>15.04.2024</t>
  </si>
  <si>
    <t>15.03.2024</t>
  </si>
  <si>
    <t>June</t>
  </si>
  <si>
    <t>30.08.2025</t>
  </si>
  <si>
    <t>08.08.2025</t>
  </si>
  <si>
    <t>KTPS-V&amp;VI</t>
  </si>
  <si>
    <t>Raising of Additional Ash Pond</t>
  </si>
  <si>
    <t>24.09.2025</t>
  </si>
  <si>
    <t>26.09.2025</t>
  </si>
  <si>
    <t>Not Yet Approved</t>
  </si>
  <si>
    <t>BEML Dozers 2 Nos</t>
  </si>
  <si>
    <t>CHP works of KTPP</t>
  </si>
  <si>
    <t>Excavator</t>
  </si>
  <si>
    <t>HFO Tank</t>
  </si>
  <si>
    <t>Reminnent Life Assessment RLS</t>
  </si>
  <si>
    <t>Fixed Charges for H2 of 2025-26</t>
  </si>
  <si>
    <t>RoE on additions for FY 2024-25</t>
  </si>
  <si>
    <t xml:space="preserve">Opening Equity Base </t>
  </si>
  <si>
    <t>75% of additions</t>
  </si>
  <si>
    <t>Additions 25-26</t>
  </si>
  <si>
    <t>Additions 2026-27</t>
  </si>
  <si>
    <t>Interest on Loan (FY 2026-27)</t>
  </si>
  <si>
    <t>YTPS</t>
  </si>
  <si>
    <t>As on 15.08.2025</t>
  </si>
  <si>
    <t>28.02.1998</t>
  </si>
  <si>
    <t>26.12.2018</t>
  </si>
  <si>
    <t>As on 01.04.2024</t>
  </si>
  <si>
    <t>26.03.2016</t>
  </si>
  <si>
    <t>09.01.2022</t>
  </si>
  <si>
    <t>23.10.2011</t>
  </si>
  <si>
    <t>14.09.2010</t>
  </si>
  <si>
    <t>07.03.1978 to 27.09.1992</t>
  </si>
  <si>
    <t>26.01.2001 to 04.09.2003</t>
  </si>
  <si>
    <t>07.03.1978 to 31.03.2000</t>
  </si>
  <si>
    <t>31.03.1986 to 29.01.2004</t>
  </si>
  <si>
    <t>12.10.2010</t>
  </si>
  <si>
    <t>31.08.2008 to 04.08.2011</t>
  </si>
  <si>
    <t>19.10.2015 to 01.10.2016</t>
  </si>
  <si>
    <t>29.09.2016 to 08.09.2018</t>
  </si>
  <si>
    <t>Accumulated depreciation from FY 2024-26</t>
  </si>
  <si>
    <t>Additions in FY 2025-26 (Estimated)</t>
  </si>
  <si>
    <t>Additions for FY 2026-27 (Projected)</t>
  </si>
  <si>
    <t>Additions in FY 2024-25 (Actual as per annual Accounts)</t>
  </si>
  <si>
    <t>RoE on additions for FY 2025-26</t>
  </si>
  <si>
    <t>O&amp;M Cost</t>
  </si>
  <si>
    <t>EMP</t>
  </si>
  <si>
    <t>ADM</t>
  </si>
  <si>
    <t>KTPPI</t>
  </si>
  <si>
    <t>KTPPII</t>
  </si>
  <si>
    <t>Small</t>
  </si>
  <si>
    <t>Pochampadu</t>
  </si>
  <si>
    <t>=</t>
  </si>
  <si>
    <t>GFA Additions</t>
  </si>
  <si>
    <t>GFA as on 31.03.2025</t>
  </si>
  <si>
    <t>GFA As 01.04.2027</t>
  </si>
  <si>
    <t>Opening Equity Base</t>
  </si>
  <si>
    <t>Final Coal Rate Oil Rate calculation as per ECR Rates</t>
  </si>
  <si>
    <t>Sl. No.</t>
  </si>
  <si>
    <t>KTPPP-II</t>
  </si>
  <si>
    <t>Average</t>
  </si>
  <si>
    <t>Wt.Ave.delivered Price of Coal</t>
  </si>
  <si>
    <t>Wt.Ave.delivered Price of Oil</t>
  </si>
  <si>
    <t>Rs/tonne</t>
  </si>
  <si>
    <t>(Rs/kl)</t>
  </si>
  <si>
    <t>GCV of Coal (As per FCA Bills)</t>
  </si>
  <si>
    <t>Qty of Coal Consumed</t>
  </si>
  <si>
    <t>Qty of Oil Consumed</t>
  </si>
  <si>
    <t>(kCal/kg)</t>
  </si>
  <si>
    <t>KL</t>
  </si>
  <si>
    <t>Legend</t>
  </si>
  <si>
    <t>Units</t>
  </si>
  <si>
    <t>2025-2026</t>
  </si>
  <si>
    <t>2026-2027</t>
  </si>
  <si>
    <t>Projected</t>
  </si>
  <si>
    <t>Auxiliary Consumption</t>
  </si>
  <si>
    <t>AUX</t>
  </si>
  <si>
    <t>%</t>
  </si>
  <si>
    <t>Gross Station Heat Rate</t>
  </si>
  <si>
    <t>GSHR</t>
  </si>
  <si>
    <t>kcal/kWh</t>
  </si>
  <si>
    <t>Secondary Fuel oil consumption</t>
  </si>
  <si>
    <t>SFC</t>
  </si>
  <si>
    <t>ml/kWh</t>
  </si>
  <si>
    <t>Calorific Value of Secondary Fuel</t>
  </si>
  <si>
    <t>CVSF</t>
  </si>
  <si>
    <t>kcal/ml</t>
  </si>
  <si>
    <t>Landed Price of Secondary Fuel</t>
  </si>
  <si>
    <t>LPSF</t>
  </si>
  <si>
    <t>Rs./ml</t>
  </si>
  <si>
    <t>Gross Calorific Value of Coal</t>
  </si>
  <si>
    <t>CVPF</t>
  </si>
  <si>
    <t>kcal/kg</t>
  </si>
  <si>
    <t>Landed Price of Coal</t>
  </si>
  <si>
    <t>LPPF</t>
  </si>
  <si>
    <t>Rs./kg</t>
  </si>
  <si>
    <t>Specific Coal Consumption</t>
  </si>
  <si>
    <t>kg/kWh</t>
  </si>
  <si>
    <t>Rs./kWh</t>
  </si>
  <si>
    <t xml:space="preserve">Coal Rate </t>
  </si>
  <si>
    <t>Component wise Fixed Charges for FY 2024-25</t>
  </si>
  <si>
    <t>Fixed Charges: 2026-27</t>
  </si>
  <si>
    <t>Fixed Charges: 2025-26</t>
  </si>
  <si>
    <t>GCV-85</t>
  </si>
  <si>
    <t>Specific   Coal   Consumption</t>
  </si>
  <si>
    <t>Coal                       (Actuals)</t>
  </si>
  <si>
    <t>Oil                       (Actuals)</t>
  </si>
  <si>
    <t>Variable Charges     (Actuals)</t>
  </si>
  <si>
    <t>Station Heat Rate</t>
  </si>
  <si>
    <t>Specific Oil Consumption</t>
  </si>
  <si>
    <t>GCV  of Oil</t>
  </si>
  <si>
    <t>GCV of Coal</t>
  </si>
  <si>
    <t>Coal Cost</t>
  </si>
  <si>
    <t>(kg/kWh)</t>
  </si>
  <si>
    <t>(paise/kWh)</t>
  </si>
  <si>
    <t>Month/Year</t>
  </si>
  <si>
    <t>h (kCal/kWh)</t>
  </si>
  <si>
    <t>A (%)</t>
  </si>
  <si>
    <t>Ss (ml/kWh)</t>
  </si>
  <si>
    <t>Cs (kCal/litre)</t>
  </si>
  <si>
    <t>CC</t>
  </si>
  <si>
    <t>Pc</t>
  </si>
  <si>
    <t>Ps</t>
  </si>
  <si>
    <r>
      <t>S</t>
    </r>
    <r>
      <rPr>
        <b/>
        <vertAlign val="subscript"/>
        <sz val="10"/>
        <rFont val="Calibri"/>
        <family val="2"/>
        <scheme val="minor"/>
      </rPr>
      <t>c</t>
    </r>
    <r>
      <rPr>
        <b/>
        <sz val="10"/>
        <rFont val="Calibri"/>
        <family val="2"/>
        <scheme val="minor"/>
      </rPr>
      <t>=(h-Ss*Cs/1000)/Cc</t>
    </r>
  </si>
  <si>
    <r>
      <t>V</t>
    </r>
    <r>
      <rPr>
        <b/>
        <vertAlign val="subscript"/>
        <sz val="10"/>
        <rFont val="Calibri"/>
        <family val="2"/>
        <scheme val="minor"/>
      </rPr>
      <t>c</t>
    </r>
    <r>
      <rPr>
        <b/>
        <sz val="10"/>
        <rFont val="Calibri"/>
        <family val="2"/>
        <scheme val="minor"/>
      </rPr>
      <t>=S</t>
    </r>
    <r>
      <rPr>
        <b/>
        <vertAlign val="subscript"/>
        <sz val="10"/>
        <rFont val="Calibri"/>
        <family val="2"/>
        <scheme val="minor"/>
      </rPr>
      <t>c</t>
    </r>
    <r>
      <rPr>
        <b/>
        <sz val="10"/>
        <rFont val="Calibri"/>
        <family val="2"/>
        <scheme val="minor"/>
      </rPr>
      <t>*P</t>
    </r>
    <r>
      <rPr>
        <b/>
        <vertAlign val="subscript"/>
        <sz val="10"/>
        <rFont val="Calibri"/>
        <family val="2"/>
        <scheme val="minor"/>
      </rPr>
      <t>c</t>
    </r>
    <r>
      <rPr>
        <b/>
        <sz val="10"/>
        <rFont val="Calibri"/>
        <family val="2"/>
        <scheme val="minor"/>
      </rPr>
      <t>*10/(100-A)</t>
    </r>
  </si>
  <si>
    <r>
      <t>Vs=S</t>
    </r>
    <r>
      <rPr>
        <b/>
        <vertAlign val="subscript"/>
        <sz val="10"/>
        <rFont val="Calibri"/>
        <family val="2"/>
        <scheme val="minor"/>
      </rPr>
      <t>s</t>
    </r>
    <r>
      <rPr>
        <b/>
        <sz val="10"/>
        <rFont val="Calibri"/>
        <family val="2"/>
        <scheme val="minor"/>
      </rPr>
      <t>*P</t>
    </r>
    <r>
      <rPr>
        <b/>
        <vertAlign val="subscript"/>
        <sz val="10"/>
        <rFont val="Calibri"/>
        <family val="2"/>
        <scheme val="minor"/>
      </rPr>
      <t>s</t>
    </r>
    <r>
      <rPr>
        <b/>
        <sz val="10"/>
        <rFont val="Calibri"/>
        <family val="2"/>
        <scheme val="minor"/>
      </rPr>
      <t>/{(100-A)*100}</t>
    </r>
  </si>
  <si>
    <r>
      <t>V = V</t>
    </r>
    <r>
      <rPr>
        <b/>
        <vertAlign val="subscript"/>
        <sz val="10"/>
        <rFont val="Calibri"/>
        <family val="2"/>
        <scheme val="minor"/>
      </rPr>
      <t>c</t>
    </r>
    <r>
      <rPr>
        <b/>
        <sz val="10"/>
        <rFont val="Calibri"/>
        <family val="2"/>
        <scheme val="minor"/>
      </rPr>
      <t xml:space="preserve"> + Vs</t>
    </r>
  </si>
  <si>
    <t>KTPP -I</t>
  </si>
  <si>
    <t>Depreciation Approved Vs Actual</t>
  </si>
  <si>
    <t>Interest and Finance Charges on Loan Approved Vs Actual</t>
  </si>
  <si>
    <t>Interest on Working Capital Approved Vs Actual</t>
  </si>
  <si>
    <t>O&amp;M Expenses Approved Vs Actual</t>
  </si>
  <si>
    <t>Return on Equity Approved Vs Actual</t>
  </si>
  <si>
    <t>Total Station wise Fixed Charges</t>
  </si>
  <si>
    <t>FY 2024-25</t>
  </si>
  <si>
    <t>Actual</t>
  </si>
  <si>
    <t>Variation</t>
  </si>
  <si>
    <t>Total Component wise variation</t>
  </si>
  <si>
    <t>component</t>
  </si>
  <si>
    <t>Reurn on Equity</t>
  </si>
  <si>
    <t>Non- Tariff Income</t>
  </si>
  <si>
    <t>Non-tariff Income</t>
  </si>
  <si>
    <t>variation</t>
  </si>
  <si>
    <t>Additional Pension liability</t>
  </si>
  <si>
    <t>Annual Accounts</t>
  </si>
  <si>
    <t>AS per Accounts</t>
  </si>
  <si>
    <t>SLDC Availability</t>
  </si>
  <si>
    <t>Component</t>
  </si>
  <si>
    <t>Revised Proposed for FY 2026-27</t>
  </si>
  <si>
    <t>Operation &amp; Maintenance Expenses</t>
  </si>
  <si>
    <t>Interest and Finance charges on loan</t>
  </si>
  <si>
    <t>Interest on working Capital</t>
  </si>
  <si>
    <t>Additional Pension Liability</t>
  </si>
  <si>
    <t xml:space="preserve">Less: Non-tariff Income </t>
  </si>
  <si>
    <t>Mt</t>
  </si>
  <si>
    <t>For FY 2025-26</t>
  </si>
  <si>
    <t>up to Aug-2025</t>
  </si>
  <si>
    <t>2025-26 (April -2025 to Aug 2025)</t>
  </si>
  <si>
    <t>Considering Weighted average of April-25 to Sep-25 of Coal price and Oil Price</t>
  </si>
  <si>
    <t>up to sep-2025</t>
  </si>
  <si>
    <t>2025-26 (April -2025 to March 2026)</t>
  </si>
  <si>
    <t>Control Period</t>
  </si>
  <si>
    <t>2024-2025</t>
  </si>
  <si>
    <t>2027-2028</t>
  </si>
  <si>
    <t>Estimated</t>
  </si>
  <si>
    <t>Normative Ex Bus</t>
  </si>
  <si>
    <t>Actual Generation</t>
  </si>
  <si>
    <t>Scheduled Generation</t>
  </si>
  <si>
    <t>Variable Charges as per Actual Ex Bus</t>
  </si>
  <si>
    <t>Considering Weighted average of Jun2, July, Aug-25 for FY 2026-27</t>
  </si>
  <si>
    <t>Average of 3 months</t>
  </si>
  <si>
    <t>June, July, Aug-2025 for FY 2026-27</t>
  </si>
  <si>
    <t xml:space="preserve">Reduction of Coal by Rs. 600 </t>
  </si>
  <si>
    <t>Weighted Average GCV of Coal</t>
  </si>
  <si>
    <t>kCal/kg</t>
  </si>
  <si>
    <t>ECR for FY 2026-27</t>
  </si>
  <si>
    <t xml:space="preserve">EX Bus Energy </t>
  </si>
  <si>
    <t>variable Charges</t>
  </si>
  <si>
    <t xml:space="preserve">Interest and Finance Charges on Loan </t>
  </si>
  <si>
    <t xml:space="preserve">Interest on Working Capital </t>
  </si>
  <si>
    <t xml:space="preserve">O&amp;M Expenses </t>
  </si>
  <si>
    <t>Energy Charges</t>
  </si>
  <si>
    <t>As per FCA Bill Claimed</t>
  </si>
  <si>
    <t>Actual Energy Charges</t>
  </si>
  <si>
    <t>Actual Ex Bus</t>
  </si>
  <si>
    <t>Generation</t>
  </si>
  <si>
    <t>Aux Consumption</t>
  </si>
  <si>
    <t>Actual Variable Charges</t>
  </si>
  <si>
    <t xml:space="preserve">FCA Bill </t>
  </si>
  <si>
    <t>FC after adjustment</t>
  </si>
  <si>
    <t>Fuel Prices for FY 2025-25 considering weighted average of April-25 to Sep-25 Coal, Oil Prices GCV and for Oct-27 to March Coal prices reduced by Rs. 600/- per MT</t>
  </si>
  <si>
    <t>Average of June July Aug 25</t>
  </si>
  <si>
    <t>Weighted Average of GCV</t>
  </si>
  <si>
    <t>Coal Rate Reduce to 600</t>
  </si>
  <si>
    <t>1.02 times</t>
  </si>
  <si>
    <t>Energy Charge rate</t>
  </si>
  <si>
    <t>Unit Rate per kWh</t>
  </si>
  <si>
    <t>Actual operating parameters</t>
  </si>
  <si>
    <t>AFC Reduction</t>
  </si>
  <si>
    <t>AFC Claimed</t>
  </si>
  <si>
    <t>AFC as per Availability</t>
  </si>
  <si>
    <t>Availability</t>
  </si>
  <si>
    <t>True-up Claimed by TGGENCO</t>
  </si>
  <si>
    <t>Fixed Charges  of FY 2024-25</t>
  </si>
  <si>
    <t>Admitted</t>
  </si>
  <si>
    <t>True-up</t>
  </si>
  <si>
    <t>Energy Export</t>
  </si>
  <si>
    <t>Fixed Cost</t>
  </si>
  <si>
    <t xml:space="preserve">Export Energy </t>
  </si>
  <si>
    <t>RSD+Back Down</t>
  </si>
  <si>
    <t>Fixed Cost incl RSD</t>
  </si>
  <si>
    <t>Total Cost incl. RSD</t>
  </si>
  <si>
    <t>Filed by in MYT 5th</t>
  </si>
  <si>
    <t>Revised Fixed Charges  for FY 2026-27</t>
  </si>
  <si>
    <t>Approved in MYT</t>
  </si>
  <si>
    <t>(Rs. in Crore)</t>
  </si>
  <si>
    <t>MU</t>
  </si>
  <si>
    <t xml:space="preserve">Projected Energy Export </t>
  </si>
  <si>
    <t>Revised Proposal for FY 2026-27</t>
  </si>
  <si>
    <t>Variation (Revised-Approved)</t>
  </si>
  <si>
    <t xml:space="preserve"> Variation in Rate/kWh</t>
  </si>
  <si>
    <t>True-up of FY 2024-25</t>
  </si>
  <si>
    <t>Fixed Charges (Rs.in Crs)</t>
  </si>
  <si>
    <t>Additional Pension Liability+Water Charges (Rs.in Crs)</t>
  </si>
  <si>
    <t>Export Energy (MU)</t>
  </si>
  <si>
    <t>Rate/kWh variation (Rs//kWh)</t>
  </si>
  <si>
    <t>True-up based on Availability</t>
  </si>
  <si>
    <t xml:space="preserve">Approved as per Availability </t>
  </si>
  <si>
    <t>Total incl RSD</t>
  </si>
  <si>
    <t>Fixed Charges  Projected</t>
  </si>
  <si>
    <t>Fixed Charges Projected</t>
  </si>
  <si>
    <t>Variable Charge (Rs/kWh)</t>
  </si>
  <si>
    <t>Total Cost /kWh</t>
  </si>
  <si>
    <t>Fixed cost Rs./kWh</t>
  </si>
  <si>
    <t>Fixed cost (Rs/kWh) as per Proposal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</si>
</sst>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 * #,##0.00_ ;_ * \-#,##0.00_ ;_ * &quot;-&quot;??_ ;_ @_ "/>
    <numFmt numFmtId="164" formatCode="_(* #,##0.00_);_(* \(#,##0.00\);_(* &quot;-&quot;??_);_(@_)"/>
    <numFmt numFmtId="165" formatCode="0.000%"/>
    <numFmt numFmtId="166" formatCode="0.000"/>
    <numFmt numFmtId="167" formatCode="_-* #,##0.00_-;\-* #,##0.00_-;_-* &quot;-&quot;??_-;_-@_-"/>
    <numFmt numFmtId="168" formatCode="0.00_)"/>
    <numFmt numFmtId="169" formatCode="&quot;ß&quot;#,##0.00_);\(&quot;ß&quot;#,##0.00\)"/>
    <numFmt numFmtId="170" formatCode="_ * #,##0.0000_ ;_ * \-#,##0.0000_ ;_ * &quot;-&quot;??_ ;_ @_ "/>
    <numFmt numFmtId="171" formatCode="0.00000"/>
    <numFmt numFmtId="172" formatCode="_ * #,##0_ ;_ * \-#,##0_ ;_ * &quot;-&quot;??_ ;_ @_ "/>
    <numFmt numFmtId="173" formatCode="_(* #,##0.0_);_(* \(#,##0.0\);_(* &quot;-&quot;??_);_(@_)"/>
    <numFmt numFmtId="174" formatCode="#,##0.00_ ;\-#,##0.00\ "/>
    <numFmt numFmtId="175" formatCode="0.000000"/>
    <numFmt numFmtId="176" formatCode="0.00000000"/>
    <numFmt numFmtId="177" formatCode="0.00000000000"/>
    <numFmt numFmtId="178" formatCode="0.000000000000"/>
    <numFmt numFmtId="179" formatCode="0.00000000000000000"/>
    <numFmt numFmtId="180" formatCode="0.0000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name val="Calibri"/>
      <family val="2"/>
      <scheme val="minor"/>
    </font>
    <font>
      <sz val="12"/>
      <color theme="1"/>
      <name val="Calibri"/>
      <family val="2"/>
    </font>
    <font>
      <b/>
      <sz val="12"/>
      <name val="Arial"/>
      <family val="2"/>
    </font>
    <font>
      <b/>
      <sz val="12"/>
      <color theme="1"/>
      <name val="Calibri"/>
      <family val="2"/>
    </font>
    <font>
      <b/>
      <sz val="12"/>
      <color rgb="FF000000"/>
      <name val="Book Antiqua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sz val="13"/>
      <color theme="1"/>
      <name val="Arial"/>
      <family val="2"/>
    </font>
    <font>
      <b/>
      <sz val="14"/>
      <color theme="1"/>
      <name val="Arial"/>
      <family val="2"/>
    </font>
    <font>
      <sz val="12"/>
      <name val="Calibri"/>
      <family val="2"/>
      <scheme val="minor"/>
    </font>
    <font>
      <b/>
      <sz val="16"/>
      <color theme="1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b/>
      <u/>
      <sz val="11"/>
      <color theme="1"/>
      <name val="Arial"/>
      <family val="2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rgb="FFFF0000"/>
      <name val="Calibri"/>
      <family val="2"/>
    </font>
    <font>
      <sz val="12"/>
      <color rgb="FFFF0000"/>
      <name val="Arial"/>
      <family val="2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color rgb="FFFF0000"/>
      <name val="Calibri"/>
      <family val="2"/>
      <scheme val="minor"/>
    </font>
    <font>
      <b/>
      <sz val="13"/>
      <color rgb="FFFF0000"/>
      <name val="Calibri"/>
      <family val="2"/>
      <scheme val="minor"/>
    </font>
    <font>
      <b/>
      <sz val="13"/>
      <color rgb="FF000000"/>
      <name val="Arial"/>
      <family val="2"/>
    </font>
    <font>
      <b/>
      <sz val="13"/>
      <color theme="1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CCC0D9"/>
        <bgColor rgb="FFCCC0D9"/>
      </patternFill>
    </fill>
    <fill>
      <patternFill patternType="solid">
        <fgColor rgb="FFD6E3BC"/>
        <bgColor rgb="FFD6E3BC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FD06E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669A32"/>
        <bgColor indexed="64"/>
      </patternFill>
    </fill>
    <fill>
      <patternFill patternType="solid">
        <fgColor rgb="FFFFFFCC"/>
        <bgColor rgb="FFD6E3BC"/>
      </patternFill>
    </fill>
    <fill>
      <patternFill patternType="solid">
        <fgColor rgb="FFFFFFCC"/>
        <bgColor rgb="FFCCC0D9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38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>
      <alignment vertical="center"/>
    </xf>
    <xf numFmtId="0" fontId="6" fillId="0" borderId="0"/>
    <xf numFmtId="0" fontId="6" fillId="0" borderId="0"/>
    <xf numFmtId="0" fontId="19" fillId="0" borderId="0" applyNumberFormat="0" applyFill="0" applyBorder="0" applyAlignment="0" applyProtection="0"/>
    <xf numFmtId="0" fontId="20" fillId="0" borderId="10"/>
    <xf numFmtId="0" fontId="20" fillId="0" borderId="10"/>
    <xf numFmtId="38" fontId="21" fillId="10" borderId="0" applyNumberFormat="0" applyBorder="0" applyAlignment="0" applyProtection="0"/>
    <xf numFmtId="0" fontId="11" fillId="0" borderId="11" applyNumberFormat="0" applyAlignment="0" applyProtection="0">
      <alignment horizontal="left" vertical="center"/>
    </xf>
    <xf numFmtId="0" fontId="11" fillId="0" borderId="5">
      <alignment horizontal="left" vertical="center"/>
    </xf>
    <xf numFmtId="10" fontId="21" fillId="11" borderId="1" applyNumberFormat="0" applyBorder="0" applyAlignment="0" applyProtection="0"/>
    <xf numFmtId="37" fontId="22" fillId="0" borderId="0"/>
    <xf numFmtId="168" fontId="23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169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0" fontId="6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24" fillId="0" borderId="0" applyFont="0" applyFill="0" applyBorder="0" applyAlignment="0" applyProtection="0"/>
    <xf numFmtId="0" fontId="5" fillId="0" borderId="0"/>
    <xf numFmtId="9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24" fillId="0" borderId="0"/>
    <xf numFmtId="0" fontId="24" fillId="0" borderId="0"/>
    <xf numFmtId="0" fontId="1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4" fillId="0" borderId="0" applyFont="0" applyFill="0" applyBorder="0" applyAlignment="0" applyProtection="0"/>
    <xf numFmtId="164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6" fillId="0" borderId="0"/>
    <xf numFmtId="0" fontId="6" fillId="0" borderId="0"/>
    <xf numFmtId="0" fontId="17" fillId="0" borderId="0"/>
    <xf numFmtId="0" fontId="6" fillId="0" borderId="0" applyBorder="0" applyProtection="0"/>
    <xf numFmtId="169" fontId="24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0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2" fillId="0" borderId="1" xfId="0" applyFont="1" applyBorder="1" applyAlignment="1">
      <alignment horizontal="center"/>
    </xf>
    <xf numFmtId="164" fontId="2" fillId="0" borderId="1" xfId="1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164" fontId="4" fillId="0" borderId="1" xfId="1" applyFont="1" applyBorder="1"/>
    <xf numFmtId="164" fontId="0" fillId="0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Border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164" fontId="7" fillId="0" borderId="1" xfId="1" applyFont="1" applyBorder="1"/>
    <xf numFmtId="0" fontId="4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6" borderId="1" xfId="0" applyFont="1" applyFill="1" applyBorder="1"/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/>
    <xf numFmtId="1" fontId="10" fillId="2" borderId="3" xfId="0" applyNumberFormat="1" applyFont="1" applyFill="1" applyBorder="1" applyAlignment="1">
      <alignment horizontal="center" vertical="center"/>
    </xf>
    <xf numFmtId="2" fontId="4" fillId="0" borderId="0" xfId="0" applyNumberFormat="1" applyFont="1"/>
    <xf numFmtId="0" fontId="3" fillId="0" borderId="1" xfId="0" applyFont="1" applyBorder="1"/>
    <xf numFmtId="164" fontId="3" fillId="0" borderId="1" xfId="1" applyFont="1" applyBorder="1"/>
    <xf numFmtId="164" fontId="4" fillId="0" borderId="0" xfId="0" applyNumberFormat="1" applyFont="1"/>
    <xf numFmtId="0" fontId="3" fillId="0" borderId="1" xfId="0" applyFont="1" applyBorder="1" applyAlignment="1">
      <alignment horizontal="left" vertical="center"/>
    </xf>
    <xf numFmtId="166" fontId="12" fillId="0" borderId="1" xfId="0" applyNumberFormat="1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10" fontId="4" fillId="0" borderId="1" xfId="1" applyNumberFormat="1" applyFont="1" applyBorder="1"/>
    <xf numFmtId="1" fontId="4" fillId="0" borderId="1" xfId="0" applyNumberFormat="1" applyFont="1" applyBorder="1" applyAlignment="1">
      <alignment horizontal="center"/>
    </xf>
    <xf numFmtId="164" fontId="4" fillId="0" borderId="1" xfId="1" applyFont="1" applyFill="1" applyBorder="1"/>
    <xf numFmtId="10" fontId="4" fillId="0" borderId="1" xfId="1" applyNumberFormat="1" applyFont="1" applyFill="1" applyBorder="1"/>
    <xf numFmtId="164" fontId="3" fillId="7" borderId="1" xfId="1" applyFont="1" applyFill="1" applyBorder="1"/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left" vertical="center" wrapText="1"/>
    </xf>
    <xf numFmtId="164" fontId="14" fillId="0" borderId="1" xfId="1" applyFont="1" applyBorder="1"/>
    <xf numFmtId="0" fontId="14" fillId="0" borderId="1" xfId="0" applyFont="1" applyBorder="1" applyAlignment="1">
      <alignment horizontal="left" vertical="center" wrapText="1"/>
    </xf>
    <xf numFmtId="43" fontId="0" fillId="0" borderId="0" xfId="0" applyNumberFormat="1"/>
    <xf numFmtId="164" fontId="16" fillId="0" borderId="1" xfId="1" applyFont="1" applyBorder="1" applyAlignment="1"/>
    <xf numFmtId="166" fontId="0" fillId="0" borderId="1" xfId="0" applyNumberFormat="1" applyBorder="1"/>
    <xf numFmtId="0" fontId="3" fillId="0" borderId="0" xfId="0" applyFont="1" applyAlignment="1">
      <alignment horizontal="center"/>
    </xf>
    <xf numFmtId="170" fontId="4" fillId="0" borderId="0" xfId="0" applyNumberFormat="1" applyFont="1"/>
    <xf numFmtId="164" fontId="2" fillId="0" borderId="1" xfId="1" applyFont="1" applyFill="1" applyBorder="1"/>
    <xf numFmtId="2" fontId="7" fillId="0" borderId="1" xfId="0" applyNumberFormat="1" applyFont="1" applyBorder="1"/>
    <xf numFmtId="2" fontId="8" fillId="0" borderId="1" xfId="0" applyNumberFormat="1" applyFont="1" applyBorder="1"/>
    <xf numFmtId="0" fontId="25" fillId="0" borderId="0" xfId="0" applyFont="1"/>
    <xf numFmtId="0" fontId="8" fillId="12" borderId="1" xfId="0" applyFont="1" applyFill="1" applyBorder="1" applyAlignment="1">
      <alignment horizontal="center"/>
    </xf>
    <xf numFmtId="0" fontId="4" fillId="8" borderId="1" xfId="0" applyFont="1" applyFill="1" applyBorder="1"/>
    <xf numFmtId="0" fontId="9" fillId="0" borderId="1" xfId="0" applyFont="1" applyBorder="1" applyAlignment="1">
      <alignment horizontal="center" vertical="center" wrapText="1"/>
    </xf>
    <xf numFmtId="2" fontId="28" fillId="0" borderId="1" xfId="0" applyNumberFormat="1" applyFont="1" applyBorder="1"/>
    <xf numFmtId="2" fontId="9" fillId="0" borderId="1" xfId="0" applyNumberFormat="1" applyFont="1" applyBorder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164" fontId="14" fillId="0" borderId="1" xfId="1" applyFont="1" applyBorder="1" applyAlignment="1">
      <alignment horizontal="right"/>
    </xf>
    <xf numFmtId="0" fontId="14" fillId="0" borderId="0" xfId="0" applyFont="1" applyAlignment="1">
      <alignment horizontal="right"/>
    </xf>
    <xf numFmtId="164" fontId="16" fillId="0" borderId="1" xfId="1" applyFont="1" applyBorder="1" applyAlignment="1">
      <alignment horizontal="right"/>
    </xf>
    <xf numFmtId="0" fontId="8" fillId="0" borderId="8" xfId="0" applyFont="1" applyBorder="1"/>
    <xf numFmtId="164" fontId="7" fillId="0" borderId="1" xfId="0" applyNumberFormat="1" applyFont="1" applyBorder="1"/>
    <xf numFmtId="0" fontId="31" fillId="0" borderId="1" xfId="0" applyFont="1" applyBorder="1" applyAlignment="1">
      <alignment horizontal="right" wrapText="1"/>
    </xf>
    <xf numFmtId="2" fontId="10" fillId="3" borderId="3" xfId="0" applyNumberFormat="1" applyFont="1" applyFill="1" applyBorder="1" applyAlignment="1">
      <alignment horizontal="left" vertical="center" wrapText="1"/>
    </xf>
    <xf numFmtId="1" fontId="10" fillId="2" borderId="3" xfId="0" applyNumberFormat="1" applyFont="1" applyFill="1" applyBorder="1" applyAlignment="1">
      <alignment horizontal="center" vertical="center" wrapText="1"/>
    </xf>
    <xf numFmtId="2" fontId="10" fillId="3" borderId="9" xfId="0" applyNumberFormat="1" applyFont="1" applyFill="1" applyBorder="1" applyAlignment="1">
      <alignment horizontal="left" vertical="center" wrapText="1"/>
    </xf>
    <xf numFmtId="1" fontId="3" fillId="0" borderId="1" xfId="1" applyNumberFormat="1" applyFont="1" applyBorder="1" applyAlignment="1">
      <alignment horizontal="center" wrapText="1"/>
    </xf>
    <xf numFmtId="0" fontId="15" fillId="0" borderId="4" xfId="0" applyFont="1" applyBorder="1" applyAlignment="1">
      <alignment horizontal="center" vertical="center" wrapText="1"/>
    </xf>
    <xf numFmtId="1" fontId="10" fillId="3" borderId="3" xfId="0" applyNumberFormat="1" applyFont="1" applyFill="1" applyBorder="1" applyAlignment="1">
      <alignment horizontal="center" vertical="center" wrapText="1"/>
    </xf>
    <xf numFmtId="1" fontId="10" fillId="3" borderId="9" xfId="0" applyNumberFormat="1" applyFont="1" applyFill="1" applyBorder="1" applyAlignment="1">
      <alignment horizontal="center" vertical="center" wrapText="1"/>
    </xf>
    <xf numFmtId="164" fontId="15" fillId="0" borderId="4" xfId="1" applyFont="1" applyBorder="1" applyAlignment="1">
      <alignment horizontal="right"/>
    </xf>
    <xf numFmtId="164" fontId="16" fillId="0" borderId="4" xfId="1" applyFont="1" applyBorder="1" applyAlignment="1">
      <alignment horizontal="right"/>
    </xf>
    <xf numFmtId="0" fontId="15" fillId="0" borderId="1" xfId="0" applyFont="1" applyBorder="1"/>
    <xf numFmtId="2" fontId="14" fillId="0" borderId="1" xfId="0" applyNumberFormat="1" applyFont="1" applyBorder="1"/>
    <xf numFmtId="0" fontId="8" fillId="0" borderId="2" xfId="0" applyFont="1" applyBorder="1"/>
    <xf numFmtId="0" fontId="15" fillId="0" borderId="1" xfId="0" applyFont="1" applyBorder="1" applyAlignment="1">
      <alignment wrapText="1"/>
    </xf>
    <xf numFmtId="0" fontId="14" fillId="0" borderId="1" xfId="0" applyFont="1" applyBorder="1"/>
    <xf numFmtId="43" fontId="15" fillId="0" borderId="1" xfId="0" applyNumberFormat="1" applyFont="1" applyBorder="1"/>
    <xf numFmtId="0" fontId="15" fillId="5" borderId="6" xfId="0" applyFont="1" applyFill="1" applyBorder="1" applyAlignment="1">
      <alignment horizontal="center"/>
    </xf>
    <xf numFmtId="0" fontId="15" fillId="8" borderId="17" xfId="0" applyFont="1" applyFill="1" applyBorder="1" applyAlignment="1">
      <alignment horizontal="center"/>
    </xf>
    <xf numFmtId="0" fontId="14" fillId="8" borderId="0" xfId="0" applyFont="1" applyFill="1"/>
    <xf numFmtId="2" fontId="14" fillId="0" borderId="4" xfId="0" applyNumberFormat="1" applyFont="1" applyBorder="1"/>
    <xf numFmtId="2" fontId="14" fillId="0" borderId="0" xfId="0" applyNumberFormat="1" applyFont="1"/>
    <xf numFmtId="164" fontId="14" fillId="0" borderId="0" xfId="0" applyNumberFormat="1" applyFont="1"/>
    <xf numFmtId="2" fontId="15" fillId="0" borderId="4" xfId="0" applyNumberFormat="1" applyFont="1" applyBorder="1"/>
    <xf numFmtId="2" fontId="15" fillId="0" borderId="0" xfId="0" applyNumberFormat="1" applyFont="1"/>
    <xf numFmtId="0" fontId="15" fillId="8" borderId="1" xfId="0" applyFont="1" applyFill="1" applyBorder="1"/>
    <xf numFmtId="0" fontId="15" fillId="8" borderId="0" xfId="0" applyFont="1" applyFill="1"/>
    <xf numFmtId="165" fontId="4" fillId="0" borderId="0" xfId="2" applyNumberFormat="1" applyFont="1" applyFill="1"/>
    <xf numFmtId="10" fontId="4" fillId="0" borderId="1" xfId="0" applyNumberFormat="1" applyFont="1" applyBorder="1"/>
    <xf numFmtId="165" fontId="10" fillId="0" borderId="1" xfId="0" applyNumberFormat="1" applyFont="1" applyBorder="1" applyAlignment="1">
      <alignment horizontal="center" vertical="center"/>
    </xf>
    <xf numFmtId="164" fontId="3" fillId="0" borderId="1" xfId="1" applyFont="1" applyFill="1" applyBorder="1"/>
    <xf numFmtId="164" fontId="3" fillId="0" borderId="6" xfId="1" applyFont="1" applyFill="1" applyBorder="1"/>
    <xf numFmtId="164" fontId="3" fillId="0" borderId="1" xfId="0" applyNumberFormat="1" applyFont="1" applyBorder="1"/>
    <xf numFmtId="165" fontId="12" fillId="0" borderId="1" xfId="0" applyNumberFormat="1" applyFont="1" applyBorder="1" applyAlignment="1">
      <alignment horizontal="center" vertical="center"/>
    </xf>
    <xf numFmtId="0" fontId="4" fillId="8" borderId="0" xfId="0" applyFont="1" applyFill="1"/>
    <xf numFmtId="0" fontId="4" fillId="0" borderId="1" xfId="0" applyFont="1" applyBorder="1" applyAlignment="1">
      <alignment wrapText="1"/>
    </xf>
    <xf numFmtId="0" fontId="4" fillId="9" borderId="1" xfId="0" applyFont="1" applyFill="1" applyBorder="1"/>
    <xf numFmtId="10" fontId="4" fillId="9" borderId="1" xfId="0" applyNumberFormat="1" applyFont="1" applyFill="1" applyBorder="1"/>
    <xf numFmtId="0" fontId="4" fillId="8" borderId="1" xfId="0" applyFont="1" applyFill="1" applyBorder="1" applyAlignment="1">
      <alignment horizontal="center"/>
    </xf>
    <xf numFmtId="10" fontId="4" fillId="8" borderId="1" xfId="0" applyNumberFormat="1" applyFont="1" applyFill="1" applyBorder="1"/>
    <xf numFmtId="164" fontId="8" fillId="0" borderId="0" xfId="0" applyNumberFormat="1" applyFont="1"/>
    <xf numFmtId="0" fontId="30" fillId="0" borderId="1" xfId="0" applyFont="1" applyBorder="1" applyAlignment="1">
      <alignment horizontal="center" wrapText="1"/>
    </xf>
    <xf numFmtId="164" fontId="15" fillId="0" borderId="1" xfId="1" applyFont="1" applyBorder="1"/>
    <xf numFmtId="0" fontId="15" fillId="14" borderId="1" xfId="0" applyFont="1" applyFill="1" applyBorder="1" applyAlignment="1">
      <alignment horizontal="center"/>
    </xf>
    <xf numFmtId="0" fontId="14" fillId="14" borderId="1" xfId="0" applyFont="1" applyFill="1" applyBorder="1"/>
    <xf numFmtId="0" fontId="8" fillId="0" borderId="0" xfId="0" applyFont="1"/>
    <xf numFmtId="0" fontId="15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7" fillId="0" borderId="0" xfId="0" applyNumberFormat="1" applyFont="1"/>
    <xf numFmtId="164" fontId="7" fillId="0" borderId="0" xfId="0" applyNumberFormat="1" applyFont="1"/>
    <xf numFmtId="0" fontId="8" fillId="0" borderId="1" xfId="0" applyFont="1" applyBorder="1" applyAlignment="1">
      <alignment wrapText="1"/>
    </xf>
    <xf numFmtId="164" fontId="8" fillId="0" borderId="1" xfId="1" applyFont="1" applyBorder="1"/>
    <xf numFmtId="0" fontId="32" fillId="0" borderId="0" xfId="0" applyFont="1"/>
    <xf numFmtId="0" fontId="32" fillId="0" borderId="1" xfId="0" applyFont="1" applyBorder="1"/>
    <xf numFmtId="166" fontId="4" fillId="0" borderId="0" xfId="0" applyNumberFormat="1" applyFont="1"/>
    <xf numFmtId="0" fontId="18" fillId="0" borderId="0" xfId="4" applyFont="1" applyAlignment="1">
      <alignment vertical="center"/>
    </xf>
    <xf numFmtId="43" fontId="14" fillId="0" borderId="1" xfId="115" applyFont="1" applyBorder="1"/>
    <xf numFmtId="43" fontId="18" fillId="0" borderId="0" xfId="4" applyNumberFormat="1" applyFont="1" applyAlignment="1">
      <alignment vertical="center"/>
    </xf>
    <xf numFmtId="43" fontId="14" fillId="0" borderId="1" xfId="0" applyNumberFormat="1" applyFont="1" applyBorder="1"/>
    <xf numFmtId="0" fontId="18" fillId="0" borderId="0" xfId="3" applyFont="1">
      <alignment vertical="center"/>
    </xf>
    <xf numFmtId="0" fontId="11" fillId="0" borderId="0" xfId="4" applyFont="1" applyAlignment="1">
      <alignment vertical="center"/>
    </xf>
    <xf numFmtId="164" fontId="3" fillId="14" borderId="1" xfId="1" applyFont="1" applyFill="1" applyBorder="1"/>
    <xf numFmtId="164" fontId="4" fillId="14" borderId="1" xfId="1" applyFont="1" applyFill="1" applyBorder="1"/>
    <xf numFmtId="0" fontId="3" fillId="14" borderId="1" xfId="0" applyFont="1" applyFill="1" applyBorder="1" applyAlignment="1">
      <alignment horizontal="center"/>
    </xf>
    <xf numFmtId="10" fontId="4" fillId="14" borderId="1" xfId="1" applyNumberFormat="1" applyFont="1" applyFill="1" applyBorder="1"/>
    <xf numFmtId="0" fontId="33" fillId="0" borderId="1" xfId="0" applyFont="1" applyBorder="1"/>
    <xf numFmtId="0" fontId="15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0" fontId="26" fillId="0" borderId="1" xfId="0" applyFont="1" applyBorder="1" applyAlignment="1">
      <alignment horizontal="center"/>
    </xf>
    <xf numFmtId="0" fontId="0" fillId="15" borderId="0" xfId="0" applyFill="1" applyAlignment="1">
      <alignment horizontal="center" vertical="center" wrapText="1"/>
    </xf>
    <xf numFmtId="0" fontId="2" fillId="0" borderId="0" xfId="0" applyFont="1"/>
    <xf numFmtId="0" fontId="35" fillId="0" borderId="0" xfId="0" applyFont="1"/>
    <xf numFmtId="0" fontId="35" fillId="0" borderId="1" xfId="0" applyFont="1" applyBorder="1"/>
    <xf numFmtId="17" fontId="4" fillId="0" borderId="0" xfId="0" applyNumberFormat="1" applyFont="1"/>
    <xf numFmtId="0" fontId="0" fillId="0" borderId="18" xfId="0" applyBorder="1"/>
    <xf numFmtId="0" fontId="0" fillId="8" borderId="14" xfId="0" applyFill="1" applyBorder="1"/>
    <xf numFmtId="0" fontId="14" fillId="13" borderId="1" xfId="0" applyFont="1" applyFill="1" applyBorder="1"/>
    <xf numFmtId="0" fontId="27" fillId="0" borderId="0" xfId="0" applyFont="1" applyAlignment="1">
      <alignment horizontal="center"/>
    </xf>
    <xf numFmtId="10" fontId="4" fillId="16" borderId="1" xfId="0" applyNumberFormat="1" applyFont="1" applyFill="1" applyBorder="1"/>
    <xf numFmtId="0" fontId="15" fillId="0" borderId="1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textRotation="90"/>
    </xf>
    <xf numFmtId="0" fontId="15" fillId="0" borderId="6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/>
    </xf>
    <xf numFmtId="0" fontId="36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43" fontId="14" fillId="0" borderId="0" xfId="0" applyNumberFormat="1" applyFont="1"/>
    <xf numFmtId="43" fontId="15" fillId="0" borderId="0" xfId="0" applyNumberFormat="1" applyFont="1"/>
    <xf numFmtId="172" fontId="2" fillId="0" borderId="1" xfId="115" applyNumberFormat="1" applyFont="1" applyBorder="1" applyAlignment="1">
      <alignment horizontal="center" vertical="center"/>
    </xf>
    <xf numFmtId="172" fontId="2" fillId="0" borderId="1" xfId="115" applyNumberFormat="1" applyFont="1" applyFill="1" applyBorder="1" applyAlignment="1">
      <alignment horizontal="center" vertical="center"/>
    </xf>
    <xf numFmtId="172" fontId="0" fillId="0" borderId="1" xfId="115" applyNumberFormat="1" applyFont="1" applyBorder="1"/>
    <xf numFmtId="43" fontId="0" fillId="0" borderId="1" xfId="115" applyFont="1" applyBorder="1"/>
    <xf numFmtId="172" fontId="2" fillId="0" borderId="1" xfId="115" applyNumberFormat="1" applyFont="1" applyBorder="1"/>
    <xf numFmtId="43" fontId="2" fillId="0" borderId="1" xfId="115" applyFont="1" applyBorder="1"/>
    <xf numFmtId="43" fontId="0" fillId="0" borderId="1" xfId="0" applyNumberFormat="1" applyBorder="1"/>
    <xf numFmtId="43" fontId="0" fillId="0" borderId="0" xfId="115" applyFont="1"/>
    <xf numFmtId="2" fontId="3" fillId="0" borderId="0" xfId="0" applyNumberFormat="1" applyFont="1"/>
    <xf numFmtId="43" fontId="4" fillId="0" borderId="0" xfId="0" applyNumberFormat="1" applyFont="1"/>
    <xf numFmtId="0" fontId="15" fillId="4" borderId="0" xfId="0" applyFont="1" applyFill="1" applyAlignment="1">
      <alignment horizontal="center"/>
    </xf>
    <xf numFmtId="0" fontId="28" fillId="0" borderId="1" xfId="0" applyFont="1" applyBorder="1"/>
    <xf numFmtId="166" fontId="0" fillId="0" borderId="0" xfId="0" applyNumberFormat="1"/>
    <xf numFmtId="0" fontId="4" fillId="0" borderId="4" xfId="0" applyFont="1" applyBorder="1"/>
    <xf numFmtId="166" fontId="0" fillId="8" borderId="1" xfId="0" applyNumberFormat="1" applyFill="1" applyBorder="1"/>
    <xf numFmtId="172" fontId="0" fillId="5" borderId="1" xfId="115" applyNumberFormat="1" applyFont="1" applyFill="1" applyBorder="1"/>
    <xf numFmtId="0" fontId="0" fillId="5" borderId="0" xfId="0" applyFill="1"/>
    <xf numFmtId="0" fontId="0" fillId="5" borderId="1" xfId="0" applyFill="1" applyBorder="1"/>
    <xf numFmtId="164" fontId="0" fillId="5" borderId="1" xfId="0" applyNumberFormat="1" applyFill="1" applyBorder="1"/>
    <xf numFmtId="164" fontId="0" fillId="5" borderId="1" xfId="1" applyFont="1" applyFill="1" applyBorder="1"/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/>
    <xf numFmtId="164" fontId="4" fillId="5" borderId="1" xfId="0" applyNumberFormat="1" applyFont="1" applyFill="1" applyBorder="1"/>
    <xf numFmtId="1" fontId="10" fillId="17" borderId="3" xfId="0" applyNumberFormat="1" applyFont="1" applyFill="1" applyBorder="1" applyAlignment="1">
      <alignment horizontal="center" vertical="center" wrapText="1"/>
    </xf>
    <xf numFmtId="2" fontId="28" fillId="5" borderId="1" xfId="0" applyNumberFormat="1" applyFont="1" applyFill="1" applyBorder="1"/>
    <xf numFmtId="2" fontId="9" fillId="5" borderId="1" xfId="0" applyNumberFormat="1" applyFont="1" applyFill="1" applyBorder="1"/>
    <xf numFmtId="2" fontId="4" fillId="5" borderId="0" xfId="0" applyNumberFormat="1" applyFont="1" applyFill="1"/>
    <xf numFmtId="0" fontId="4" fillId="5" borderId="0" xfId="0" applyFont="1" applyFill="1"/>
    <xf numFmtId="10" fontId="4" fillId="5" borderId="1" xfId="0" applyNumberFormat="1" applyFont="1" applyFill="1" applyBorder="1"/>
    <xf numFmtId="165" fontId="10" fillId="5" borderId="1" xfId="0" applyNumberFormat="1" applyFont="1" applyFill="1" applyBorder="1" applyAlignment="1">
      <alignment horizontal="center" vertical="center"/>
    </xf>
    <xf numFmtId="164" fontId="4" fillId="5" borderId="1" xfId="1" applyFont="1" applyFill="1" applyBorder="1"/>
    <xf numFmtId="1" fontId="10" fillId="18" borderId="3" xfId="0" applyNumberFormat="1" applyFont="1" applyFill="1" applyBorder="1" applyAlignment="1">
      <alignment horizontal="center" vertical="center" wrapText="1"/>
    </xf>
    <xf numFmtId="9" fontId="4" fillId="0" borderId="0" xfId="0" applyNumberFormat="1" applyFont="1"/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center"/>
    </xf>
    <xf numFmtId="15" fontId="9" fillId="9" borderId="2" xfId="0" applyNumberFormat="1" applyFont="1" applyFill="1" applyBorder="1" applyAlignment="1">
      <alignment horizontal="center" vertical="center" wrapText="1"/>
    </xf>
    <xf numFmtId="0" fontId="41" fillId="9" borderId="14" xfId="0" applyFont="1" applyFill="1" applyBorder="1" applyAlignment="1">
      <alignment horizontal="center"/>
    </xf>
    <xf numFmtId="164" fontId="28" fillId="0" borderId="1" xfId="115" applyNumberFormat="1" applyFont="1" applyFill="1" applyBorder="1" applyAlignment="1">
      <alignment horizontal="right"/>
    </xf>
    <xf numFmtId="164" fontId="28" fillId="0" borderId="6" xfId="115" applyNumberFormat="1" applyFont="1" applyFill="1" applyBorder="1" applyAlignment="1">
      <alignment horizontal="right"/>
    </xf>
    <xf numFmtId="0" fontId="4" fillId="0" borderId="0" xfId="0" applyFont="1" applyAlignment="1">
      <alignment wrapText="1"/>
    </xf>
    <xf numFmtId="167" fontId="9" fillId="0" borderId="1" xfId="0" applyNumberFormat="1" applyFont="1" applyBorder="1" applyAlignment="1">
      <alignment horizontal="center" vertical="center" wrapText="1"/>
    </xf>
    <xf numFmtId="167" fontId="9" fillId="0" borderId="4" xfId="0" applyNumberFormat="1" applyFont="1" applyBorder="1" applyAlignment="1">
      <alignment horizontal="center" vertical="center" wrapText="1"/>
    </xf>
    <xf numFmtId="167" fontId="9" fillId="0" borderId="12" xfId="0" applyNumberFormat="1" applyFont="1" applyBorder="1" applyAlignment="1">
      <alignment horizontal="center" vertical="center" wrapText="1"/>
    </xf>
    <xf numFmtId="167" fontId="42" fillId="0" borderId="1" xfId="0" applyNumberFormat="1" applyFont="1" applyBorder="1" applyAlignment="1">
      <alignment horizontal="center" vertical="center" wrapText="1"/>
    </xf>
    <xf numFmtId="167" fontId="42" fillId="0" borderId="5" xfId="0" applyNumberFormat="1" applyFont="1" applyBorder="1" applyAlignment="1">
      <alignment horizontal="center" vertical="center" wrapText="1"/>
    </xf>
    <xf numFmtId="167" fontId="42" fillId="0" borderId="4" xfId="0" applyNumberFormat="1" applyFont="1" applyBorder="1" applyAlignment="1">
      <alignment horizontal="center" vertical="center" wrapText="1"/>
    </xf>
    <xf numFmtId="0" fontId="36" fillId="0" borderId="1" xfId="0" applyFont="1" applyBorder="1" applyAlignment="1">
      <alignment wrapText="1"/>
    </xf>
    <xf numFmtId="167" fontId="37" fillId="0" borderId="1" xfId="0" applyNumberFormat="1" applyFont="1" applyBorder="1" applyAlignment="1">
      <alignment horizontal="center" vertical="center" wrapText="1"/>
    </xf>
    <xf numFmtId="167" fontId="43" fillId="0" borderId="12" xfId="0" applyNumberFormat="1" applyFont="1" applyBorder="1" applyAlignment="1">
      <alignment horizontal="center" vertical="center" wrapText="1"/>
    </xf>
    <xf numFmtId="167" fontId="43" fillId="0" borderId="1" xfId="0" applyNumberFormat="1" applyFont="1" applyBorder="1" applyAlignment="1">
      <alignment horizontal="center" vertical="center" wrapText="1"/>
    </xf>
    <xf numFmtId="167" fontId="43" fillId="0" borderId="4" xfId="0" applyNumberFormat="1" applyFont="1" applyBorder="1" applyAlignment="1">
      <alignment horizontal="center" vertical="center" wrapText="1"/>
    </xf>
    <xf numFmtId="0" fontId="44" fillId="0" borderId="1" xfId="0" applyFont="1" applyBorder="1" applyAlignment="1">
      <alignment wrapText="1"/>
    </xf>
    <xf numFmtId="167" fontId="37" fillId="0" borderId="0" xfId="0" applyNumberFormat="1" applyFont="1" applyAlignment="1">
      <alignment horizontal="center" vertical="center" wrapText="1"/>
    </xf>
    <xf numFmtId="167" fontId="37" fillId="0" borderId="4" xfId="0" applyNumberFormat="1" applyFont="1" applyBorder="1" applyAlignment="1">
      <alignment horizontal="center" vertical="center" wrapText="1"/>
    </xf>
    <xf numFmtId="0" fontId="44" fillId="0" borderId="0" xfId="0" applyFont="1" applyAlignment="1">
      <alignment wrapText="1"/>
    </xf>
    <xf numFmtId="2" fontId="9" fillId="0" borderId="1" xfId="0" applyNumberFormat="1" applyFont="1" applyBorder="1" applyAlignment="1">
      <alignment horizontal="center" vertical="center"/>
    </xf>
    <xf numFmtId="2" fontId="46" fillId="0" borderId="1" xfId="0" applyNumberFormat="1" applyFont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7" fontId="9" fillId="0" borderId="1" xfId="0" applyNumberFormat="1" applyFont="1" applyBorder="1" applyAlignment="1">
      <alignment horizontal="center" vertical="center"/>
    </xf>
    <xf numFmtId="165" fontId="47" fillId="5" borderId="1" xfId="0" applyNumberFormat="1" applyFont="1" applyFill="1" applyBorder="1" applyAlignment="1">
      <alignment horizontal="center" vertical="center"/>
    </xf>
    <xf numFmtId="165" fontId="47" fillId="0" borderId="1" xfId="0" applyNumberFormat="1" applyFont="1" applyBorder="1" applyAlignment="1">
      <alignment horizontal="center" vertical="center"/>
    </xf>
    <xf numFmtId="0" fontId="48" fillId="0" borderId="0" xfId="0" applyFont="1"/>
    <xf numFmtId="0" fontId="49" fillId="20" borderId="0" xfId="0" applyFont="1" applyFill="1"/>
    <xf numFmtId="0" fontId="49" fillId="0" borderId="0" xfId="0" applyFont="1"/>
    <xf numFmtId="0" fontId="49" fillId="20" borderId="1" xfId="0" applyFont="1" applyFill="1" applyBorder="1" applyAlignment="1">
      <alignment horizontal="left" vertical="top"/>
    </xf>
    <xf numFmtId="2" fontId="49" fillId="0" borderId="0" xfId="0" applyNumberFormat="1" applyFont="1"/>
    <xf numFmtId="0" fontId="49" fillId="12" borderId="0" xfId="0" applyFont="1" applyFill="1"/>
    <xf numFmtId="0" fontId="49" fillId="0" borderId="1" xfId="0" applyFont="1" applyBorder="1" applyAlignment="1">
      <alignment horizontal="center" vertical="top"/>
    </xf>
    <xf numFmtId="0" fontId="49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center" wrapText="1"/>
    </xf>
    <xf numFmtId="0" fontId="49" fillId="0" borderId="1" xfId="0" applyFont="1" applyBorder="1"/>
    <xf numFmtId="0" fontId="49" fillId="20" borderId="1" xfId="0" applyFont="1" applyFill="1" applyBorder="1"/>
    <xf numFmtId="0" fontId="49" fillId="0" borderId="1" xfId="0" applyFont="1" applyBorder="1" applyAlignment="1">
      <alignment horizontal="center"/>
    </xf>
    <xf numFmtId="2" fontId="49" fillId="0" borderId="1" xfId="0" applyNumberFormat="1" applyFont="1" applyBorder="1"/>
    <xf numFmtId="2" fontId="49" fillId="0" borderId="1" xfId="0" applyNumberFormat="1" applyFont="1" applyBorder="1" applyAlignment="1">
      <alignment wrapText="1"/>
    </xf>
    <xf numFmtId="0" fontId="35" fillId="0" borderId="12" xfId="0" applyFont="1" applyBorder="1" applyAlignment="1">
      <alignment horizontal="center" vertical="center" wrapText="1"/>
    </xf>
    <xf numFmtId="0" fontId="49" fillId="0" borderId="12" xfId="0" applyFont="1" applyBorder="1" applyAlignment="1">
      <alignment horizontal="center"/>
    </xf>
    <xf numFmtId="2" fontId="35" fillId="0" borderId="1" xfId="0" applyNumberFormat="1" applyFont="1" applyBorder="1"/>
    <xf numFmtId="0" fontId="35" fillId="0" borderId="1" xfId="0" applyFont="1" applyBorder="1" applyAlignment="1">
      <alignment horizontal="center"/>
    </xf>
    <xf numFmtId="0" fontId="49" fillId="20" borderId="1" xfId="0" applyFont="1" applyFill="1" applyBorder="1" applyAlignment="1">
      <alignment horizontal="center" vertical="top"/>
    </xf>
    <xf numFmtId="0" fontId="35" fillId="0" borderId="12" xfId="0" applyFont="1" applyBorder="1" applyAlignment="1">
      <alignment horizontal="right"/>
    </xf>
    <xf numFmtId="0" fontId="35" fillId="0" borderId="1" xfId="0" applyFont="1" applyBorder="1" applyAlignment="1">
      <alignment horizontal="right"/>
    </xf>
    <xf numFmtId="2" fontId="35" fillId="0" borderId="1" xfId="0" applyNumberFormat="1" applyFont="1" applyBorder="1" applyAlignment="1">
      <alignment horizontal="right"/>
    </xf>
    <xf numFmtId="43" fontId="49" fillId="0" borderId="1" xfId="136" applyFont="1" applyBorder="1"/>
    <xf numFmtId="0" fontId="35" fillId="0" borderId="0" xfId="0" applyFont="1" applyAlignment="1">
      <alignment horizontal="right"/>
    </xf>
    <xf numFmtId="2" fontId="35" fillId="0" borderId="0" xfId="0" applyNumberFormat="1" applyFont="1" applyAlignment="1">
      <alignment horizontal="right"/>
    </xf>
    <xf numFmtId="0" fontId="35" fillId="20" borderId="1" xfId="0" applyFont="1" applyFill="1" applyBorder="1"/>
    <xf numFmtId="0" fontId="0" fillId="8" borderId="1" xfId="0" applyFill="1" applyBorder="1"/>
    <xf numFmtId="1" fontId="0" fillId="15" borderId="1" xfId="0" applyNumberFormat="1" applyFill="1" applyBorder="1"/>
    <xf numFmtId="171" fontId="0" fillId="15" borderId="1" xfId="0" applyNumberFormat="1" applyFill="1" applyBorder="1"/>
    <xf numFmtId="0" fontId="0" fillId="15" borderId="1" xfId="0" applyFill="1" applyBorder="1"/>
    <xf numFmtId="2" fontId="0" fillId="15" borderId="1" xfId="0" applyNumberFormat="1" applyFill="1" applyBorder="1"/>
    <xf numFmtId="171" fontId="34" fillId="15" borderId="1" xfId="0" applyNumberFormat="1" applyFont="1" applyFill="1" applyBorder="1"/>
    <xf numFmtId="0" fontId="34" fillId="15" borderId="1" xfId="0" applyFont="1" applyFill="1" applyBorder="1"/>
    <xf numFmtId="2" fontId="0" fillId="0" borderId="1" xfId="0" applyNumberFormat="1" applyBorder="1"/>
    <xf numFmtId="172" fontId="2" fillId="0" borderId="1" xfId="115" applyNumberFormat="1" applyFont="1" applyBorder="1" applyAlignment="1">
      <alignment horizontal="center"/>
    </xf>
    <xf numFmtId="174" fontId="2" fillId="0" borderId="1" xfId="115" applyNumberFormat="1" applyFont="1" applyBorder="1"/>
    <xf numFmtId="2" fontId="9" fillId="8" borderId="1" xfId="0" applyNumberFormat="1" applyFont="1" applyFill="1" applyBorder="1"/>
    <xf numFmtId="0" fontId="9" fillId="0" borderId="1" xfId="0" applyFont="1" applyBorder="1" applyAlignment="1">
      <alignment horizontal="center" vertical="center"/>
    </xf>
    <xf numFmtId="173" fontId="28" fillId="0" borderId="1" xfId="115" applyNumberFormat="1" applyFont="1" applyFill="1" applyBorder="1" applyAlignment="1">
      <alignment horizontal="right"/>
    </xf>
    <xf numFmtId="173" fontId="28" fillId="0" borderId="6" xfId="115" applyNumberFormat="1" applyFont="1" applyFill="1" applyBorder="1" applyAlignment="1">
      <alignment horizontal="right"/>
    </xf>
    <xf numFmtId="2" fontId="35" fillId="0" borderId="0" xfId="0" applyNumberFormat="1" applyFont="1"/>
    <xf numFmtId="0" fontId="35" fillId="0" borderId="12" xfId="0" applyFont="1" applyBorder="1" applyAlignment="1">
      <alignment horizontal="center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2" fontId="16" fillId="0" borderId="1" xfId="0" applyNumberFormat="1" applyFont="1" applyBorder="1" applyAlignment="1">
      <alignment vertical="center" wrapText="1"/>
    </xf>
    <xf numFmtId="2" fontId="31" fillId="0" borderId="1" xfId="0" applyNumberFormat="1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171" fontId="49" fillId="0" borderId="0" xfId="0" applyNumberFormat="1" applyFont="1"/>
    <xf numFmtId="175" fontId="0" fillId="0" borderId="0" xfId="0" applyNumberFormat="1"/>
    <xf numFmtId="166" fontId="4" fillId="0" borderId="1" xfId="0" applyNumberFormat="1" applyFont="1" applyBorder="1" applyAlignment="1">
      <alignment horizontal="center"/>
    </xf>
    <xf numFmtId="166" fontId="4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28" fillId="0" borderId="12" xfId="115" applyNumberFormat="1" applyFont="1" applyFill="1" applyBorder="1" applyAlignment="1">
      <alignment horizontal="right"/>
    </xf>
    <xf numFmtId="0" fontId="0" fillId="8" borderId="1" xfId="0" applyFill="1" applyBorder="1" applyAlignment="1">
      <alignment horizontal="center"/>
    </xf>
    <xf numFmtId="2" fontId="28" fillId="0" borderId="1" xfId="0" applyNumberFormat="1" applyFont="1" applyBorder="1" applyAlignment="1">
      <alignment horizontal="center"/>
    </xf>
    <xf numFmtId="164" fontId="28" fillId="0" borderId="14" xfId="115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17" fontId="39" fillId="9" borderId="1" xfId="0" applyNumberFormat="1" applyFont="1" applyFill="1" applyBorder="1" applyAlignment="1">
      <alignment horizontal="center" vertical="center" wrapText="1"/>
    </xf>
    <xf numFmtId="0" fontId="3" fillId="9" borderId="4" xfId="0" applyFont="1" applyFill="1" applyBorder="1"/>
    <xf numFmtId="0" fontId="0" fillId="0" borderId="1" xfId="0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8" fillId="0" borderId="6" xfId="0" applyFont="1" applyBorder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9" fillId="8" borderId="1" xfId="4" applyFont="1" applyFill="1" applyBorder="1" applyAlignment="1">
      <alignment horizontal="center" vertical="center"/>
    </xf>
    <xf numFmtId="0" fontId="9" fillId="8" borderId="1" xfId="3" applyFont="1" applyFill="1" applyBorder="1" applyAlignment="1">
      <alignment horizontal="center" vertical="center" wrapText="1"/>
    </xf>
    <xf numFmtId="0" fontId="28" fillId="8" borderId="1" xfId="0" applyFont="1" applyFill="1" applyBorder="1" applyAlignment="1">
      <alignment vertical="center"/>
    </xf>
    <xf numFmtId="2" fontId="28" fillId="8" borderId="1" xfId="0" applyNumberFormat="1" applyFont="1" applyFill="1" applyBorder="1" applyAlignment="1">
      <alignment vertical="center"/>
    </xf>
    <xf numFmtId="166" fontId="4" fillId="8" borderId="1" xfId="0" applyNumberFormat="1" applyFont="1" applyFill="1" applyBorder="1"/>
    <xf numFmtId="166" fontId="4" fillId="8" borderId="0" xfId="0" applyNumberFormat="1" applyFont="1" applyFill="1"/>
    <xf numFmtId="0" fontId="9" fillId="8" borderId="1" xfId="4" applyFont="1" applyFill="1" applyBorder="1" applyAlignment="1">
      <alignment vertical="center"/>
    </xf>
    <xf numFmtId="1" fontId="28" fillId="8" borderId="1" xfId="0" applyNumberFormat="1" applyFont="1" applyFill="1" applyBorder="1" applyAlignment="1">
      <alignment vertical="center"/>
    </xf>
    <xf numFmtId="166" fontId="49" fillId="0" borderId="1" xfId="0" applyNumberFormat="1" applyFont="1" applyBorder="1"/>
    <xf numFmtId="166" fontId="50" fillId="0" borderId="1" xfId="0" applyNumberFormat="1" applyFont="1" applyBorder="1" applyAlignment="1">
      <alignment vertical="center"/>
    </xf>
    <xf numFmtId="2" fontId="4" fillId="0" borderId="1" xfId="0" applyNumberFormat="1" applyFont="1" applyBorder="1"/>
    <xf numFmtId="0" fontId="0" fillId="8" borderId="0" xfId="0" applyFill="1"/>
    <xf numFmtId="0" fontId="2" fillId="8" borderId="0" xfId="0" applyFont="1" applyFill="1"/>
    <xf numFmtId="15" fontId="9" fillId="9" borderId="7" xfId="0" applyNumberFormat="1" applyFont="1" applyFill="1" applyBorder="1" applyAlignment="1">
      <alignment horizontal="center" vertical="center" wrapText="1"/>
    </xf>
    <xf numFmtId="0" fontId="41" fillId="9" borderId="18" xfId="0" applyFont="1" applyFill="1" applyBorder="1" applyAlignment="1">
      <alignment horizontal="center"/>
    </xf>
    <xf numFmtId="0" fontId="3" fillId="8" borderId="1" xfId="0" applyFont="1" applyFill="1" applyBorder="1" applyAlignment="1">
      <alignment wrapText="1"/>
    </xf>
    <xf numFmtId="166" fontId="3" fillId="0" borderId="1" xfId="0" applyNumberFormat="1" applyFont="1" applyBorder="1"/>
    <xf numFmtId="0" fontId="51" fillId="20" borderId="0" xfId="0" applyFont="1" applyFill="1"/>
    <xf numFmtId="0" fontId="51" fillId="20" borderId="1" xfId="0" applyFont="1" applyFill="1" applyBorder="1" applyAlignment="1">
      <alignment horizontal="left" vertical="top"/>
    </xf>
    <xf numFmtId="0" fontId="51" fillId="12" borderId="0" xfId="0" applyFont="1" applyFill="1"/>
    <xf numFmtId="0" fontId="49" fillId="0" borderId="4" xfId="0" applyFont="1" applyBorder="1"/>
    <xf numFmtId="2" fontId="49" fillId="0" borderId="4" xfId="0" applyNumberFormat="1" applyFont="1" applyBorder="1"/>
    <xf numFmtId="2" fontId="35" fillId="0" borderId="4" xfId="0" applyNumberFormat="1" applyFont="1" applyBorder="1"/>
    <xf numFmtId="0" fontId="35" fillId="0" borderId="4" xfId="0" applyFont="1" applyBorder="1"/>
    <xf numFmtId="2" fontId="35" fillId="0" borderId="4" xfId="0" applyNumberFormat="1" applyFont="1" applyBorder="1" applyAlignment="1">
      <alignment horizontal="right"/>
    </xf>
    <xf numFmtId="2" fontId="51" fillId="20" borderId="0" xfId="0" applyNumberFormat="1" applyFont="1" applyFill="1"/>
    <xf numFmtId="0" fontId="51" fillId="12" borderId="1" xfId="0" applyFont="1" applyFill="1" applyBorder="1" applyAlignment="1">
      <alignment horizontal="center" vertical="top"/>
    </xf>
    <xf numFmtId="0" fontId="51" fillId="12" borderId="1" xfId="0" applyFont="1" applyFill="1" applyBorder="1" applyAlignment="1">
      <alignment horizontal="left" vertical="top"/>
    </xf>
    <xf numFmtId="0" fontId="51" fillId="0" borderId="0" xfId="0" applyFont="1"/>
    <xf numFmtId="0" fontId="49" fillId="20" borderId="4" xfId="0" applyFont="1" applyFill="1" applyBorder="1"/>
    <xf numFmtId="0" fontId="35" fillId="0" borderId="4" xfId="0" applyFont="1" applyBorder="1" applyAlignment="1">
      <alignment horizontal="right"/>
    </xf>
    <xf numFmtId="164" fontId="28" fillId="8" borderId="12" xfId="115" applyNumberFormat="1" applyFont="1" applyFill="1" applyBorder="1" applyAlignment="1">
      <alignment horizontal="right"/>
    </xf>
    <xf numFmtId="164" fontId="28" fillId="8" borderId="1" xfId="115" applyNumberFormat="1" applyFont="1" applyFill="1" applyBorder="1" applyAlignment="1">
      <alignment horizontal="right"/>
    </xf>
    <xf numFmtId="2" fontId="28" fillId="8" borderId="1" xfId="0" applyNumberFormat="1" applyFont="1" applyFill="1" applyBorder="1" applyAlignment="1">
      <alignment horizontal="center"/>
    </xf>
    <xf numFmtId="2" fontId="0" fillId="8" borderId="1" xfId="0" applyNumberFormat="1" applyFill="1" applyBorder="1"/>
    <xf numFmtId="164" fontId="28" fillId="8" borderId="14" xfId="115" applyNumberFormat="1" applyFont="1" applyFill="1" applyBorder="1" applyAlignment="1">
      <alignment horizontal="right"/>
    </xf>
    <xf numFmtId="164" fontId="28" fillId="8" borderId="6" xfId="115" applyNumberFormat="1" applyFont="1" applyFill="1" applyBorder="1" applyAlignment="1">
      <alignment horizontal="right"/>
    </xf>
    <xf numFmtId="2" fontId="0" fillId="8" borderId="1" xfId="0" applyNumberFormat="1" applyFill="1" applyBorder="1" applyAlignment="1">
      <alignment wrapText="1"/>
    </xf>
    <xf numFmtId="0" fontId="0" fillId="21" borderId="0" xfId="0" applyFill="1"/>
    <xf numFmtId="0" fontId="0" fillId="21" borderId="1" xfId="0" applyFill="1" applyBorder="1" applyAlignment="1">
      <alignment horizontal="center" vertical="center"/>
    </xf>
    <xf numFmtId="15" fontId="9" fillId="21" borderId="2" xfId="0" applyNumberFormat="1" applyFont="1" applyFill="1" applyBorder="1" applyAlignment="1">
      <alignment horizontal="center" vertical="center" wrapText="1"/>
    </xf>
    <xf numFmtId="0" fontId="0" fillId="21" borderId="1" xfId="0" applyFill="1" applyBorder="1" applyAlignment="1">
      <alignment horizontal="center" vertical="center" wrapText="1"/>
    </xf>
    <xf numFmtId="15" fontId="9" fillId="21" borderId="1" xfId="0" applyNumberFormat="1" applyFont="1" applyFill="1" applyBorder="1" applyAlignment="1">
      <alignment horizontal="center" vertical="center" wrapText="1"/>
    </xf>
    <xf numFmtId="0" fontId="2" fillId="21" borderId="1" xfId="0" applyFont="1" applyFill="1" applyBorder="1" applyAlignment="1">
      <alignment wrapText="1"/>
    </xf>
    <xf numFmtId="0" fontId="0" fillId="21" borderId="1" xfId="0" applyFill="1" applyBorder="1" applyAlignment="1">
      <alignment horizontal="center"/>
    </xf>
    <xf numFmtId="0" fontId="41" fillId="21" borderId="14" xfId="0" applyFont="1" applyFill="1" applyBorder="1" applyAlignment="1">
      <alignment horizontal="center"/>
    </xf>
    <xf numFmtId="0" fontId="41" fillId="21" borderId="1" xfId="0" applyFont="1" applyFill="1" applyBorder="1" applyAlignment="1">
      <alignment horizontal="center"/>
    </xf>
    <xf numFmtId="0" fontId="0" fillId="21" borderId="1" xfId="0" applyFill="1" applyBorder="1"/>
    <xf numFmtId="0" fontId="0" fillId="21" borderId="1" xfId="0" applyFill="1" applyBorder="1" applyAlignment="1">
      <alignment wrapText="1"/>
    </xf>
    <xf numFmtId="0" fontId="0" fillId="20" borderId="1" xfId="0" applyFill="1" applyBorder="1"/>
    <xf numFmtId="0" fontId="3" fillId="20" borderId="1" xfId="0" applyFont="1" applyFill="1" applyBorder="1" applyAlignment="1">
      <alignment horizontal="center"/>
    </xf>
    <xf numFmtId="0" fontId="28" fillId="8" borderId="1" xfId="0" applyFont="1" applyFill="1" applyBorder="1"/>
    <xf numFmtId="173" fontId="28" fillId="8" borderId="1" xfId="115" applyNumberFormat="1" applyFont="1" applyFill="1" applyBorder="1" applyAlignment="1">
      <alignment horizontal="right"/>
    </xf>
    <xf numFmtId="2" fontId="28" fillId="8" borderId="1" xfId="0" applyNumberFormat="1" applyFont="1" applyFill="1" applyBorder="1"/>
    <xf numFmtId="0" fontId="28" fillId="8" borderId="6" xfId="0" applyFont="1" applyFill="1" applyBorder="1"/>
    <xf numFmtId="173" fontId="28" fillId="8" borderId="6" xfId="115" applyNumberFormat="1" applyFont="1" applyFill="1" applyBorder="1" applyAlignment="1">
      <alignment horizontal="right"/>
    </xf>
    <xf numFmtId="0" fontId="9" fillId="8" borderId="0" xfId="0" applyFont="1" applyFill="1"/>
    <xf numFmtId="0" fontId="4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center" vertical="center"/>
    </xf>
    <xf numFmtId="2" fontId="4" fillId="8" borderId="0" xfId="0" applyNumberFormat="1" applyFont="1" applyFill="1"/>
    <xf numFmtId="0" fontId="4" fillId="8" borderId="6" xfId="0" applyFont="1" applyFill="1" applyBorder="1" applyAlignment="1">
      <alignment vertical="center" wrapText="1"/>
    </xf>
    <xf numFmtId="0" fontId="4" fillId="8" borderId="6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166" fontId="28" fillId="8" borderId="1" xfId="0" applyNumberFormat="1" applyFont="1" applyFill="1" applyBorder="1" applyAlignment="1">
      <alignment vertical="center"/>
    </xf>
    <xf numFmtId="166" fontId="28" fillId="8" borderId="0" xfId="5" applyNumberFormat="1" applyFont="1" applyFill="1" applyAlignment="1">
      <alignment vertical="center"/>
    </xf>
    <xf numFmtId="164" fontId="4" fillId="8" borderId="1" xfId="1" applyFont="1" applyFill="1" applyBorder="1"/>
    <xf numFmtId="176" fontId="4" fillId="0" borderId="0" xfId="0" applyNumberFormat="1" applyFont="1"/>
    <xf numFmtId="177" fontId="4" fillId="0" borderId="0" xfId="0" applyNumberFormat="1" applyFont="1"/>
    <xf numFmtId="178" fontId="4" fillId="0" borderId="0" xfId="0" applyNumberFormat="1" applyFont="1"/>
    <xf numFmtId="179" fontId="4" fillId="0" borderId="0" xfId="0" applyNumberFormat="1" applyFont="1"/>
    <xf numFmtId="0" fontId="4" fillId="20" borderId="0" xfId="0" applyFont="1" applyFill="1"/>
    <xf numFmtId="0" fontId="4" fillId="12" borderId="0" xfId="0" applyFont="1" applyFill="1"/>
    <xf numFmtId="0" fontId="4" fillId="0" borderId="6" xfId="0" applyFont="1" applyBorder="1" applyAlignment="1">
      <alignment horizontal="center"/>
    </xf>
    <xf numFmtId="0" fontId="4" fillId="0" borderId="17" xfId="0" applyFont="1" applyBorder="1"/>
    <xf numFmtId="176" fontId="4" fillId="0" borderId="1" xfId="0" applyNumberFormat="1" applyFont="1" applyBorder="1"/>
    <xf numFmtId="171" fontId="4" fillId="0" borderId="1" xfId="0" applyNumberFormat="1" applyFont="1" applyBorder="1"/>
    <xf numFmtId="171" fontId="4" fillId="0" borderId="0" xfId="0" applyNumberFormat="1" applyFont="1"/>
    <xf numFmtId="171" fontId="3" fillId="0" borderId="0" xfId="0" applyNumberFormat="1" applyFont="1"/>
    <xf numFmtId="0" fontId="3" fillId="0" borderId="0" xfId="0" applyFont="1" applyAlignment="1">
      <alignment horizontal="right"/>
    </xf>
    <xf numFmtId="166" fontId="4" fillId="0" borderId="1" xfId="0" applyNumberFormat="1" applyFont="1" applyBorder="1"/>
    <xf numFmtId="180" fontId="4" fillId="0" borderId="0" xfId="0" applyNumberFormat="1" applyFont="1"/>
    <xf numFmtId="166" fontId="49" fillId="0" borderId="0" xfId="0" applyNumberFormat="1" applyFont="1"/>
    <xf numFmtId="180" fontId="49" fillId="0" borderId="0" xfId="0" applyNumberFormat="1" applyFont="1"/>
    <xf numFmtId="2" fontId="49" fillId="8" borderId="0" xfId="0" applyNumberFormat="1" applyFont="1" applyFill="1"/>
    <xf numFmtId="0" fontId="39" fillId="0" borderId="0" xfId="0" applyFont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2" xfId="0" applyFont="1" applyBorder="1" applyAlignment="1">
      <alignment vertical="center"/>
    </xf>
    <xf numFmtId="0" fontId="15" fillId="0" borderId="2" xfId="0" applyFont="1" applyBorder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0" fontId="15" fillId="12" borderId="2" xfId="0" applyFont="1" applyFill="1" applyBorder="1" applyAlignment="1">
      <alignment horizontal="left" vertical="center"/>
    </xf>
    <xf numFmtId="164" fontId="14" fillId="0" borderId="1" xfId="1" applyFont="1" applyFill="1" applyBorder="1" applyAlignment="1"/>
    <xf numFmtId="0" fontId="14" fillId="0" borderId="1" xfId="0" applyFont="1" applyBorder="1" applyAlignment="1">
      <alignment horizontal="center"/>
    </xf>
    <xf numFmtId="0" fontId="14" fillId="0" borderId="4" xfId="0" applyFont="1" applyBorder="1"/>
    <xf numFmtId="0" fontId="14" fillId="0" borderId="1" xfId="0" applyFont="1" applyBorder="1" applyAlignment="1">
      <alignment horizontal="right" vertical="top"/>
    </xf>
    <xf numFmtId="0" fontId="14" fillId="0" borderId="12" xfId="0" applyFont="1" applyBorder="1" applyAlignment="1">
      <alignment horizontal="right" vertical="top"/>
    </xf>
    <xf numFmtId="0" fontId="14" fillId="0" borderId="1" xfId="0" applyFont="1" applyBorder="1" applyAlignment="1">
      <alignment horizontal="left" vertical="top"/>
    </xf>
    <xf numFmtId="164" fontId="14" fillId="8" borderId="1" xfId="1" applyFont="1" applyFill="1" applyBorder="1" applyAlignment="1"/>
    <xf numFmtId="0" fontId="14" fillId="5" borderId="1" xfId="0" applyFont="1" applyFill="1" applyBorder="1"/>
    <xf numFmtId="164" fontId="14" fillId="5" borderId="1" xfId="1" applyFont="1" applyFill="1" applyBorder="1" applyAlignment="1"/>
    <xf numFmtId="0" fontId="14" fillId="5" borderId="0" xfId="0" applyFont="1" applyFill="1"/>
    <xf numFmtId="0" fontId="14" fillId="5" borderId="1" xfId="0" applyFont="1" applyFill="1" applyBorder="1" applyAlignment="1">
      <alignment horizontal="center"/>
    </xf>
    <xf numFmtId="0" fontId="14" fillId="5" borderId="4" xfId="0" applyFont="1" applyFill="1" applyBorder="1"/>
    <xf numFmtId="0" fontId="14" fillId="5" borderId="1" xfId="0" applyFont="1" applyFill="1" applyBorder="1" applyAlignment="1">
      <alignment horizontal="right" vertical="top"/>
    </xf>
    <xf numFmtId="0" fontId="14" fillId="5" borderId="12" xfId="0" applyFont="1" applyFill="1" applyBorder="1" applyAlignment="1">
      <alignment horizontal="right" vertical="top"/>
    </xf>
    <xf numFmtId="164" fontId="14" fillId="5" borderId="1" xfId="0" applyNumberFormat="1" applyFont="1" applyFill="1" applyBorder="1"/>
    <xf numFmtId="164" fontId="15" fillId="0" borderId="1" xfId="1" applyFont="1" applyFill="1" applyBorder="1" applyAlignment="1"/>
    <xf numFmtId="0" fontId="15" fillId="0" borderId="1" xfId="0" applyFont="1" applyBorder="1" applyAlignment="1">
      <alignment horizontal="left" vertical="top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right" vertical="top"/>
    </xf>
    <xf numFmtId="4" fontId="15" fillId="0" borderId="1" xfId="0" applyNumberFormat="1" applyFont="1" applyBorder="1" applyAlignment="1">
      <alignment horizontal="right" vertical="top"/>
    </xf>
    <xf numFmtId="0" fontId="15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5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center" vertical="top" wrapText="1"/>
    </xf>
    <xf numFmtId="0" fontId="14" fillId="12" borderId="7" xfId="0" applyFont="1" applyFill="1" applyBorder="1" applyAlignment="1">
      <alignment horizontal="left" vertical="top" wrapText="1"/>
    </xf>
    <xf numFmtId="164" fontId="14" fillId="0" borderId="1" xfId="115" applyNumberFormat="1" applyFont="1" applyBorder="1" applyAlignment="1"/>
    <xf numFmtId="43" fontId="14" fillId="0" borderId="1" xfId="0" applyNumberFormat="1" applyFont="1" applyBorder="1" applyAlignment="1">
      <alignment horizontal="right" vertical="top"/>
    </xf>
    <xf numFmtId="0" fontId="14" fillId="19" borderId="1" xfId="0" applyFont="1" applyFill="1" applyBorder="1"/>
    <xf numFmtId="164" fontId="14" fillId="19" borderId="1" xfId="1" applyFont="1" applyFill="1" applyBorder="1" applyAlignment="1"/>
    <xf numFmtId="0" fontId="14" fillId="19" borderId="0" xfId="0" applyFont="1" applyFill="1"/>
    <xf numFmtId="0" fontId="14" fillId="19" borderId="1" xfId="0" applyFont="1" applyFill="1" applyBorder="1" applyAlignment="1">
      <alignment horizontal="center"/>
    </xf>
    <xf numFmtId="0" fontId="14" fillId="19" borderId="4" xfId="0" applyFont="1" applyFill="1" applyBorder="1"/>
    <xf numFmtId="0" fontId="14" fillId="19" borderId="1" xfId="0" applyFont="1" applyFill="1" applyBorder="1" applyAlignment="1">
      <alignment horizontal="right" vertical="top"/>
    </xf>
    <xf numFmtId="164" fontId="14" fillId="19" borderId="1" xfId="115" applyNumberFormat="1" applyFont="1" applyFill="1" applyBorder="1" applyAlignment="1"/>
    <xf numFmtId="43" fontId="14" fillId="19" borderId="1" xfId="0" applyNumberFormat="1" applyFont="1" applyFill="1" applyBorder="1" applyAlignment="1">
      <alignment horizontal="right" vertical="top"/>
    </xf>
    <xf numFmtId="43" fontId="14" fillId="19" borderId="1" xfId="0" applyNumberFormat="1" applyFont="1" applyFill="1" applyBorder="1"/>
    <xf numFmtId="43" fontId="15" fillId="0" borderId="1" xfId="0" applyNumberFormat="1" applyFont="1" applyBorder="1" applyAlignment="1">
      <alignment horizontal="right" vertical="top"/>
    </xf>
    <xf numFmtId="164" fontId="14" fillId="0" borderId="1" xfId="0" applyNumberFormat="1" applyFont="1" applyBorder="1" applyAlignment="1">
      <alignment horizontal="left" vertical="top"/>
    </xf>
    <xf numFmtId="0" fontId="14" fillId="0" borderId="1" xfId="0" applyFont="1" applyBorder="1" applyAlignment="1">
      <alignment horizontal="center" vertical="top"/>
    </xf>
    <xf numFmtId="0" fontId="14" fillId="12" borderId="1" xfId="0" applyFont="1" applyFill="1" applyBorder="1" applyAlignment="1">
      <alignment horizontal="left" vertical="top"/>
    </xf>
    <xf numFmtId="171" fontId="14" fillId="0" borderId="0" xfId="0" applyNumberFormat="1" applyFont="1"/>
    <xf numFmtId="0" fontId="14" fillId="0" borderId="6" xfId="0" applyFont="1" applyBorder="1" applyAlignment="1">
      <alignment horizontal="center"/>
    </xf>
    <xf numFmtId="0" fontId="15" fillId="0" borderId="6" xfId="0" applyFont="1" applyBorder="1" applyAlignment="1">
      <alignment horizontal="right" vertical="top"/>
    </xf>
    <xf numFmtId="43" fontId="15" fillId="0" borderId="6" xfId="0" applyNumberFormat="1" applyFont="1" applyBorder="1" applyAlignment="1">
      <alignment horizontal="right" vertical="top"/>
    </xf>
    <xf numFmtId="0" fontId="14" fillId="0" borderId="6" xfId="0" applyFont="1" applyBorder="1"/>
    <xf numFmtId="0" fontId="14" fillId="0" borderId="6" xfId="0" applyFont="1" applyBorder="1" applyAlignment="1">
      <alignment horizontal="left" vertical="top"/>
    </xf>
    <xf numFmtId="171" fontId="15" fillId="0" borderId="0" xfId="0" applyNumberFormat="1" applyFont="1"/>
    <xf numFmtId="164" fontId="8" fillId="0" borderId="1" xfId="1" applyFont="1" applyFill="1" applyBorder="1" applyAlignment="1"/>
    <xf numFmtId="164" fontId="7" fillId="0" borderId="1" xfId="1" applyFont="1" applyFill="1" applyBorder="1" applyAlignment="1"/>
    <xf numFmtId="0" fontId="52" fillId="0" borderId="12" xfId="0" applyFont="1" applyBorder="1" applyAlignment="1">
      <alignment horizontal="center"/>
    </xf>
    <xf numFmtId="0" fontId="52" fillId="0" borderId="1" xfId="0" applyFont="1" applyBorder="1"/>
    <xf numFmtId="2" fontId="52" fillId="0" borderId="1" xfId="0" applyNumberFormat="1" applyFont="1" applyBorder="1"/>
    <xf numFmtId="0" fontId="53" fillId="0" borderId="12" xfId="0" applyFont="1" applyBorder="1" applyAlignment="1">
      <alignment horizontal="right"/>
    </xf>
    <xf numFmtId="0" fontId="53" fillId="0" borderId="1" xfId="0" applyFont="1" applyBorder="1" applyAlignment="1">
      <alignment horizontal="right"/>
    </xf>
    <xf numFmtId="2" fontId="53" fillId="0" borderId="1" xfId="0" applyNumberFormat="1" applyFont="1" applyBorder="1" applyAlignment="1">
      <alignment horizontal="right"/>
    </xf>
    <xf numFmtId="0" fontId="54" fillId="0" borderId="1" xfId="0" applyFont="1" applyBorder="1" applyAlignment="1">
      <alignment vertical="center" wrapText="1"/>
    </xf>
    <xf numFmtId="2" fontId="54" fillId="0" borderId="1" xfId="0" applyNumberFormat="1" applyFont="1" applyBorder="1" applyAlignment="1">
      <alignment vertical="center" wrapText="1"/>
    </xf>
    <xf numFmtId="0" fontId="54" fillId="0" borderId="1" xfId="0" applyFont="1" applyBorder="1" applyAlignment="1">
      <alignment horizontal="center" vertical="center" wrapText="1"/>
    </xf>
    <xf numFmtId="0" fontId="55" fillId="0" borderId="0" xfId="0" applyFont="1" applyAlignment="1">
      <alignment vertical="center" wrapText="1"/>
    </xf>
    <xf numFmtId="0" fontId="55" fillId="0" borderId="1" xfId="0" applyFont="1" applyBorder="1" applyAlignment="1">
      <alignment vertical="center" wrapText="1"/>
    </xf>
    <xf numFmtId="166" fontId="55" fillId="0" borderId="1" xfId="0" applyNumberFormat="1" applyFont="1" applyBorder="1" applyAlignment="1">
      <alignment vertical="center" wrapText="1"/>
    </xf>
    <xf numFmtId="0" fontId="55" fillId="0" borderId="1" xfId="0" applyFont="1" applyBorder="1" applyAlignment="1">
      <alignment horizontal="center" vertical="center" wrapText="1"/>
    </xf>
    <xf numFmtId="2" fontId="55" fillId="0" borderId="1" xfId="0" applyNumberFormat="1" applyFont="1" applyBorder="1" applyAlignment="1">
      <alignment vertical="center" wrapText="1"/>
    </xf>
    <xf numFmtId="0" fontId="5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8" borderId="4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2" fontId="3" fillId="0" borderId="1" xfId="0" applyNumberFormat="1" applyFont="1" applyBorder="1"/>
    <xf numFmtId="0" fontId="3" fillId="8" borderId="1" xfId="0" applyFont="1" applyFill="1" applyBorder="1"/>
    <xf numFmtId="0" fontId="55" fillId="0" borderId="0" xfId="0" applyFont="1" applyAlignment="1">
      <alignment horizontal="right" vertical="center" wrapText="1"/>
    </xf>
    <xf numFmtId="2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5" fillId="0" borderId="8" xfId="0" applyFont="1" applyBorder="1" applyAlignment="1">
      <alignment horizontal="center"/>
    </xf>
    <xf numFmtId="0" fontId="29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4" fillId="0" borderId="15" xfId="0" applyFont="1" applyBorder="1" applyAlignment="1">
      <alignment horizontal="left" vertical="justify" wrapText="1"/>
    </xf>
    <xf numFmtId="0" fontId="4" fillId="0" borderId="13" xfId="0" applyFont="1" applyBorder="1" applyAlignment="1">
      <alignment horizontal="left" vertical="justify" wrapText="1"/>
    </xf>
    <xf numFmtId="0" fontId="4" fillId="0" borderId="16" xfId="0" applyFont="1" applyBorder="1" applyAlignment="1">
      <alignment horizontal="left" vertical="justify" wrapText="1"/>
    </xf>
    <xf numFmtId="0" fontId="4" fillId="0" borderId="17" xfId="0" applyFont="1" applyBorder="1" applyAlignment="1">
      <alignment horizontal="left" vertical="justify" wrapText="1"/>
    </xf>
    <xf numFmtId="0" fontId="4" fillId="0" borderId="8" xfId="0" applyFont="1" applyBorder="1" applyAlignment="1">
      <alignment horizontal="left" vertical="justify" wrapText="1"/>
    </xf>
    <xf numFmtId="0" fontId="4" fillId="0" borderId="14" xfId="0" applyFont="1" applyBorder="1" applyAlignment="1">
      <alignment horizontal="left" vertical="justify" wrapText="1"/>
    </xf>
    <xf numFmtId="0" fontId="3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9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" fontId="3" fillId="9" borderId="1" xfId="0" applyNumberFormat="1" applyFont="1" applyFill="1" applyBorder="1" applyAlignment="1">
      <alignment horizontal="center"/>
    </xf>
    <xf numFmtId="0" fontId="3" fillId="9" borderId="1" xfId="0" applyFont="1" applyFill="1" applyBorder="1" applyAlignment="1">
      <alignment horizontal="center"/>
    </xf>
    <xf numFmtId="17" fontId="3" fillId="8" borderId="4" xfId="0" applyNumberFormat="1" applyFont="1" applyFill="1" applyBorder="1" applyAlignment="1">
      <alignment horizontal="center"/>
    </xf>
    <xf numFmtId="17" fontId="3" fillId="8" borderId="5" xfId="0" applyNumberFormat="1" applyFont="1" applyFill="1" applyBorder="1" applyAlignment="1">
      <alignment horizontal="center"/>
    </xf>
    <xf numFmtId="17" fontId="3" fillId="8" borderId="12" xfId="0" applyNumberFormat="1" applyFont="1" applyFill="1" applyBorder="1" applyAlignment="1">
      <alignment horizontal="center"/>
    </xf>
    <xf numFmtId="0" fontId="39" fillId="9" borderId="1" xfId="0" applyFont="1" applyFill="1" applyBorder="1" applyAlignment="1">
      <alignment horizontal="center" vertical="center" wrapText="1"/>
    </xf>
    <xf numFmtId="17" fontId="9" fillId="0" borderId="2" xfId="0" applyNumberFormat="1" applyFont="1" applyBorder="1" applyAlignment="1">
      <alignment horizontal="center" vertical="center" wrapText="1"/>
    </xf>
    <xf numFmtId="17" fontId="9" fillId="0" borderId="7" xfId="0" applyNumberFormat="1" applyFont="1" applyBorder="1" applyAlignment="1">
      <alignment horizontal="center" vertical="center" wrapText="1"/>
    </xf>
    <xf numFmtId="17" fontId="9" fillId="0" borderId="6" xfId="0" applyNumberFormat="1" applyFont="1" applyBorder="1" applyAlignment="1">
      <alignment horizontal="center" vertical="center" wrapText="1"/>
    </xf>
    <xf numFmtId="17" fontId="0" fillId="0" borderId="4" xfId="0" applyNumberFormat="1" applyBorder="1" applyAlignment="1">
      <alignment horizontal="center"/>
    </xf>
    <xf numFmtId="17" fontId="0" fillId="0" borderId="12" xfId="0" applyNumberFormat="1" applyBorder="1" applyAlignment="1">
      <alignment horizontal="center"/>
    </xf>
    <xf numFmtId="17" fontId="0" fillId="8" borderId="4" xfId="0" applyNumberFormat="1" applyFill="1" applyBorder="1" applyAlignment="1">
      <alignment horizontal="center"/>
    </xf>
    <xf numFmtId="17" fontId="0" fillId="8" borderId="12" xfId="0" applyNumberFormat="1" applyFill="1" applyBorder="1" applyAlignment="1">
      <alignment horizontal="center"/>
    </xf>
    <xf numFmtId="0" fontId="3" fillId="8" borderId="0" xfId="0" applyFont="1" applyFill="1" applyAlignment="1">
      <alignment horizontal="center" vertical="center"/>
    </xf>
    <xf numFmtId="0" fontId="15" fillId="19" borderId="0" xfId="0" applyFont="1" applyFill="1" applyAlignment="1">
      <alignment horizontal="center" vertical="center"/>
    </xf>
    <xf numFmtId="0" fontId="15" fillId="19" borderId="18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6" borderId="8" xfId="0" applyFont="1" applyFill="1" applyBorder="1" applyAlignment="1">
      <alignment horizontal="center"/>
    </xf>
    <xf numFmtId="0" fontId="55" fillId="0" borderId="8" xfId="0" applyFont="1" applyBorder="1" applyAlignment="1">
      <alignment horizontal="center" vertical="center" wrapText="1"/>
    </xf>
    <xf numFmtId="166" fontId="55" fillId="0" borderId="2" xfId="0" applyNumberFormat="1" applyFont="1" applyBorder="1" applyAlignment="1">
      <alignment horizontal="right" vertical="center" wrapText="1"/>
    </xf>
    <xf numFmtId="166" fontId="55" fillId="0" borderId="6" xfId="0" applyNumberFormat="1" applyFont="1" applyBorder="1" applyAlignment="1">
      <alignment horizontal="right" vertical="center" wrapText="1"/>
    </xf>
    <xf numFmtId="0" fontId="55" fillId="0" borderId="1" xfId="0" applyFont="1" applyBorder="1" applyAlignment="1">
      <alignment horizontal="center" vertical="center" wrapText="1"/>
    </xf>
  </cellXfs>
  <cellStyles count="138">
    <cellStyle name="Body" xfId="6" xr:uid="{00000000-0005-0000-0000-000000000000}"/>
    <cellStyle name="Comma" xfId="1" builtinId="3"/>
    <cellStyle name="Comma  - Style1" xfId="7" xr:uid="{00000000-0005-0000-0000-000002000000}"/>
    <cellStyle name="Comma 10" xfId="115" xr:uid="{00000000-0005-0000-0000-000003000000}"/>
    <cellStyle name="Comma 10 2" xfId="116" xr:uid="{00000000-0005-0000-0000-000004000000}"/>
    <cellStyle name="Comma 11" xfId="113" xr:uid="{00000000-0005-0000-0000-000005000000}"/>
    <cellStyle name="Comma 11 2" xfId="23" xr:uid="{00000000-0005-0000-0000-000006000000}"/>
    <cellStyle name="Comma 11 2 2" xfId="99" xr:uid="{00000000-0005-0000-0000-000007000000}"/>
    <cellStyle name="Comma 11 2 3" xfId="75" xr:uid="{00000000-0005-0000-0000-000008000000}"/>
    <cellStyle name="Comma 12" xfId="134" xr:uid="{00000000-0005-0000-0000-000009000000}"/>
    <cellStyle name="Comma 13" xfId="136" xr:uid="{00000000-0005-0000-0000-00000A000000}"/>
    <cellStyle name="Comma 2" xfId="28" xr:uid="{00000000-0005-0000-0000-00000B000000}"/>
    <cellStyle name="Comma 2 2" xfId="29" xr:uid="{00000000-0005-0000-0000-00000C000000}"/>
    <cellStyle name="Comma 2 2 2" xfId="66" xr:uid="{00000000-0005-0000-0000-00000D000000}"/>
    <cellStyle name="Comma 2 2 3" xfId="79" xr:uid="{00000000-0005-0000-0000-00000E000000}"/>
    <cellStyle name="Comma 2 3" xfId="30" xr:uid="{00000000-0005-0000-0000-00000F000000}"/>
    <cellStyle name="Comma 2 3 2" xfId="80" xr:uid="{00000000-0005-0000-0000-000010000000}"/>
    <cellStyle name="Comma 2 4" xfId="60" xr:uid="{00000000-0005-0000-0000-000011000000}"/>
    <cellStyle name="Comma 2 5" xfId="78" xr:uid="{00000000-0005-0000-0000-000012000000}"/>
    <cellStyle name="Comma 2 6" xfId="135" xr:uid="{00000000-0005-0000-0000-000013000000}"/>
    <cellStyle name="Comma 2 7" xfId="137" xr:uid="{00000000-0005-0000-0000-000014000000}"/>
    <cellStyle name="Comma 3" xfId="31" xr:uid="{00000000-0005-0000-0000-000015000000}"/>
    <cellStyle name="Comma 3 2" xfId="65" xr:uid="{00000000-0005-0000-0000-000016000000}"/>
    <cellStyle name="Comma 3 2 2" xfId="106" xr:uid="{00000000-0005-0000-0000-000017000000}"/>
    <cellStyle name="Comma 3 2 3" xfId="88" xr:uid="{00000000-0005-0000-0000-000018000000}"/>
    <cellStyle name="Comma 3 3" xfId="81" xr:uid="{00000000-0005-0000-0000-000019000000}"/>
    <cellStyle name="Comma 4" xfId="32" xr:uid="{00000000-0005-0000-0000-00001A000000}"/>
    <cellStyle name="Comma 4 2" xfId="67" xr:uid="{00000000-0005-0000-0000-00001B000000}"/>
    <cellStyle name="Comma 4 2 2" xfId="107" xr:uid="{00000000-0005-0000-0000-00001C000000}"/>
    <cellStyle name="Comma 4 2 3" xfId="89" xr:uid="{00000000-0005-0000-0000-00001D000000}"/>
    <cellStyle name="Comma 4 3" xfId="82" xr:uid="{00000000-0005-0000-0000-00001E000000}"/>
    <cellStyle name="Comma 5" xfId="33" xr:uid="{00000000-0005-0000-0000-00001F000000}"/>
    <cellStyle name="Comma 5 2" xfId="83" xr:uid="{00000000-0005-0000-0000-000020000000}"/>
    <cellStyle name="Comma 6" xfId="52" xr:uid="{00000000-0005-0000-0000-000021000000}"/>
    <cellStyle name="Comma 6 2" xfId="53" xr:uid="{00000000-0005-0000-0000-000022000000}"/>
    <cellStyle name="Comma 6 3" xfId="54" xr:uid="{00000000-0005-0000-0000-000023000000}"/>
    <cellStyle name="Comma 6 4" xfId="55" xr:uid="{00000000-0005-0000-0000-000024000000}"/>
    <cellStyle name="Comma 6 5" xfId="104" xr:uid="{00000000-0005-0000-0000-000025000000}"/>
    <cellStyle name="Comma 6 6" xfId="86" xr:uid="{00000000-0005-0000-0000-000026000000}"/>
    <cellStyle name="Comma 7" xfId="25" xr:uid="{00000000-0005-0000-0000-000027000000}"/>
    <cellStyle name="Comma 8" xfId="68" xr:uid="{00000000-0005-0000-0000-000028000000}"/>
    <cellStyle name="Comma 8 2" xfId="108" xr:uid="{00000000-0005-0000-0000-000029000000}"/>
    <cellStyle name="Comma 8 3" xfId="90" xr:uid="{00000000-0005-0000-0000-00002A000000}"/>
    <cellStyle name="Comma 9" xfId="114" xr:uid="{00000000-0005-0000-0000-00002B000000}"/>
    <cellStyle name="Curren - Style2" xfId="8" xr:uid="{00000000-0005-0000-0000-00002C000000}"/>
    <cellStyle name="Grey" xfId="9" xr:uid="{00000000-0005-0000-0000-00002D000000}"/>
    <cellStyle name="Header1" xfId="10" xr:uid="{00000000-0005-0000-0000-00002E000000}"/>
    <cellStyle name="Header2" xfId="11" xr:uid="{00000000-0005-0000-0000-00002F000000}"/>
    <cellStyle name="Input [yellow]" xfId="12" xr:uid="{00000000-0005-0000-0000-000030000000}"/>
    <cellStyle name="no dec" xfId="13" xr:uid="{00000000-0005-0000-0000-000031000000}"/>
    <cellStyle name="Normal" xfId="0" builtinId="0"/>
    <cellStyle name="Normal - Style1" xfId="14" xr:uid="{00000000-0005-0000-0000-000033000000}"/>
    <cellStyle name="Normal 10" xfId="70" xr:uid="{00000000-0005-0000-0000-000034000000}"/>
    <cellStyle name="Normal 10 2" xfId="110" xr:uid="{00000000-0005-0000-0000-000035000000}"/>
    <cellStyle name="Normal 10 3" xfId="92" xr:uid="{00000000-0005-0000-0000-000036000000}"/>
    <cellStyle name="Normal 11" xfId="72" xr:uid="{00000000-0005-0000-0000-000037000000}"/>
    <cellStyle name="Normal 11 2" xfId="112" xr:uid="{00000000-0005-0000-0000-000038000000}"/>
    <cellStyle name="Normal 11 3" xfId="94" xr:uid="{00000000-0005-0000-0000-000039000000}"/>
    <cellStyle name="Normal 12" xfId="73" xr:uid="{00000000-0005-0000-0000-00003A000000}"/>
    <cellStyle name="Normal 12 2" xfId="95" xr:uid="{00000000-0005-0000-0000-00003B000000}"/>
    <cellStyle name="Normal 13" xfId="96" xr:uid="{00000000-0005-0000-0000-00003C000000}"/>
    <cellStyle name="Normal 13 2" xfId="97" xr:uid="{00000000-0005-0000-0000-00003D000000}"/>
    <cellStyle name="Normal 14" xfId="118" xr:uid="{00000000-0005-0000-0000-00003E000000}"/>
    <cellStyle name="Normal 14 2" xfId="71" xr:uid="{00000000-0005-0000-0000-00003F000000}"/>
    <cellStyle name="Normal 14 2 2" xfId="111" xr:uid="{00000000-0005-0000-0000-000040000000}"/>
    <cellStyle name="Normal 14 2 3" xfId="93" xr:uid="{00000000-0005-0000-0000-000041000000}"/>
    <cellStyle name="Normal 15" xfId="22" xr:uid="{00000000-0005-0000-0000-000042000000}"/>
    <cellStyle name="Normal 15 2" xfId="98" xr:uid="{00000000-0005-0000-0000-000043000000}"/>
    <cellStyle name="Normal 15 3" xfId="74" xr:uid="{00000000-0005-0000-0000-000044000000}"/>
    <cellStyle name="Normal 16" xfId="119" xr:uid="{00000000-0005-0000-0000-000045000000}"/>
    <cellStyle name="Normal 17" xfId="120" xr:uid="{00000000-0005-0000-0000-000046000000}"/>
    <cellStyle name="Normal 18" xfId="64" xr:uid="{00000000-0005-0000-0000-000047000000}"/>
    <cellStyle name="Normal 18 2" xfId="105" xr:uid="{00000000-0005-0000-0000-000048000000}"/>
    <cellStyle name="Normal 18 3" xfId="87" xr:uid="{00000000-0005-0000-0000-000049000000}"/>
    <cellStyle name="Normal 19" xfId="121" xr:uid="{00000000-0005-0000-0000-00004A000000}"/>
    <cellStyle name="Normal 2" xfId="4" xr:uid="{00000000-0005-0000-0000-00004B000000}"/>
    <cellStyle name="Normal 2 2" xfId="15" xr:uid="{00000000-0005-0000-0000-00004C000000}"/>
    <cellStyle name="Normal 2 2 2" xfId="34" xr:uid="{00000000-0005-0000-0000-00004D000000}"/>
    <cellStyle name="Normal 2 2 2 2" xfId="61" xr:uid="{00000000-0005-0000-0000-00004E000000}"/>
    <cellStyle name="Normal 2 2_Working APR 2007-08 Mahagenco_Bhushan_1.3" xfId="35" xr:uid="{00000000-0005-0000-0000-00004F000000}"/>
    <cellStyle name="Normal 2 3" xfId="16" xr:uid="{00000000-0005-0000-0000-000050000000}"/>
    <cellStyle name="Normal 2 4" xfId="56" xr:uid="{00000000-0005-0000-0000-000051000000}"/>
    <cellStyle name="Normal 2_ARR FINAL" xfId="36" xr:uid="{00000000-0005-0000-0000-000052000000}"/>
    <cellStyle name="Normal 20" xfId="122" xr:uid="{00000000-0005-0000-0000-000053000000}"/>
    <cellStyle name="Normal 21" xfId="123" xr:uid="{00000000-0005-0000-0000-000054000000}"/>
    <cellStyle name="Normal 22" xfId="117" xr:uid="{00000000-0005-0000-0000-000055000000}"/>
    <cellStyle name="Normal 23" xfId="18" xr:uid="{00000000-0005-0000-0000-000056000000}"/>
    <cellStyle name="Normal 24" xfId="125" xr:uid="{00000000-0005-0000-0000-000057000000}"/>
    <cellStyle name="Normal 25" xfId="126" xr:uid="{00000000-0005-0000-0000-000058000000}"/>
    <cellStyle name="Normal 26" xfId="127" xr:uid="{00000000-0005-0000-0000-000059000000}"/>
    <cellStyle name="Normal 27" xfId="128" xr:uid="{00000000-0005-0000-0000-00005A000000}"/>
    <cellStyle name="Normal 28" xfId="129" xr:uid="{00000000-0005-0000-0000-00005B000000}"/>
    <cellStyle name="Normal 29" xfId="130" xr:uid="{00000000-0005-0000-0000-00005C000000}"/>
    <cellStyle name="Normal 3" xfId="5" xr:uid="{00000000-0005-0000-0000-00005D000000}"/>
    <cellStyle name="Normal 3 2" xfId="17" xr:uid="{00000000-0005-0000-0000-00005E000000}"/>
    <cellStyle name="Normal 3 2 2" xfId="37" xr:uid="{00000000-0005-0000-0000-00005F000000}"/>
    <cellStyle name="Normal 3 2 3" xfId="133" xr:uid="{00000000-0005-0000-0000-000060000000}"/>
    <cellStyle name="Normal 3 3" xfId="132" xr:uid="{00000000-0005-0000-0000-000061000000}"/>
    <cellStyle name="Normal 30" xfId="131" xr:uid="{00000000-0005-0000-0000-000062000000}"/>
    <cellStyle name="Normal 39" xfId="26" xr:uid="{00000000-0005-0000-0000-000063000000}"/>
    <cellStyle name="Normal 4" xfId="38" xr:uid="{00000000-0005-0000-0000-000064000000}"/>
    <cellStyle name="Normal 4 2" xfId="62" xr:uid="{00000000-0005-0000-0000-000065000000}"/>
    <cellStyle name="Normal 5" xfId="39" xr:uid="{00000000-0005-0000-0000-000066000000}"/>
    <cellStyle name="Normal 5 2" xfId="40" xr:uid="{00000000-0005-0000-0000-000067000000}"/>
    <cellStyle name="Normal 5 3" xfId="102" xr:uid="{00000000-0005-0000-0000-000068000000}"/>
    <cellStyle name="Normal 5 4" xfId="84" xr:uid="{00000000-0005-0000-0000-000069000000}"/>
    <cellStyle name="Normal 6" xfId="41" xr:uid="{00000000-0005-0000-0000-00006A000000}"/>
    <cellStyle name="Normal 7" xfId="42" xr:uid="{00000000-0005-0000-0000-00006B000000}"/>
    <cellStyle name="Normal 7 2" xfId="103" xr:uid="{00000000-0005-0000-0000-00006C000000}"/>
    <cellStyle name="Normal 7 3" xfId="85" xr:uid="{00000000-0005-0000-0000-00006D000000}"/>
    <cellStyle name="Normal 8" xfId="57" xr:uid="{00000000-0005-0000-0000-00006E000000}"/>
    <cellStyle name="Normal 9" xfId="58" xr:uid="{00000000-0005-0000-0000-00006F000000}"/>
    <cellStyle name="Normal_FORMATS 5 YEAR ALOKE 2" xfId="3" xr:uid="{00000000-0005-0000-0000-000070000000}"/>
    <cellStyle name="Percent" xfId="2" builtinId="5"/>
    <cellStyle name="Percent [0]_#6 Temps &amp; Contractors" xfId="19" xr:uid="{00000000-0005-0000-0000-000072000000}"/>
    <cellStyle name="Percent [2]" xfId="20" xr:uid="{00000000-0005-0000-0000-000073000000}"/>
    <cellStyle name="Percent 10" xfId="77" xr:uid="{00000000-0005-0000-0000-000074000000}"/>
    <cellStyle name="Percent 2" xfId="43" xr:uid="{00000000-0005-0000-0000-000075000000}"/>
    <cellStyle name="Percent 2 2" xfId="44" xr:uid="{00000000-0005-0000-0000-000076000000}"/>
    <cellStyle name="Percent 2 3" xfId="63" xr:uid="{00000000-0005-0000-0000-000077000000}"/>
    <cellStyle name="Percent 3" xfId="45" xr:uid="{00000000-0005-0000-0000-000078000000}"/>
    <cellStyle name="Percent 3 2" xfId="46" xr:uid="{00000000-0005-0000-0000-000079000000}"/>
    <cellStyle name="Percent 4" xfId="27" xr:uid="{00000000-0005-0000-0000-00007A000000}"/>
    <cellStyle name="Percent 41" xfId="24" xr:uid="{00000000-0005-0000-0000-00007B000000}"/>
    <cellStyle name="Percent 41 2" xfId="100" xr:uid="{00000000-0005-0000-0000-00007C000000}"/>
    <cellStyle name="Percent 41 3" xfId="76" xr:uid="{00000000-0005-0000-0000-00007D000000}"/>
    <cellStyle name="Percent 5" xfId="47" xr:uid="{00000000-0005-0000-0000-00007E000000}"/>
    <cellStyle name="Percent 5 2" xfId="48" xr:uid="{00000000-0005-0000-0000-00007F000000}"/>
    <cellStyle name="Percent 5 3" xfId="49" xr:uid="{00000000-0005-0000-0000-000080000000}"/>
    <cellStyle name="Percent 6" xfId="50" xr:uid="{00000000-0005-0000-0000-000081000000}"/>
    <cellStyle name="Percent 6 2" xfId="51" xr:uid="{00000000-0005-0000-0000-000082000000}"/>
    <cellStyle name="Percent 7" xfId="69" xr:uid="{00000000-0005-0000-0000-000083000000}"/>
    <cellStyle name="Percent 7 2" xfId="109" xr:uid="{00000000-0005-0000-0000-000084000000}"/>
    <cellStyle name="Percent 7 3" xfId="91" xr:uid="{00000000-0005-0000-0000-000085000000}"/>
    <cellStyle name="Percent 8" xfId="124" xr:uid="{00000000-0005-0000-0000-000086000000}"/>
    <cellStyle name="Percent 9" xfId="101" xr:uid="{00000000-0005-0000-0000-000087000000}"/>
    <cellStyle name="Style 1" xfId="21" xr:uid="{00000000-0005-0000-0000-000088000000}"/>
    <cellStyle name="Style 2" xfId="59" xr:uid="{00000000-0005-0000-0000-000089000000}"/>
  </cellStyles>
  <dxfs count="0"/>
  <tableStyles count="0" defaultTableStyle="TableStyleMedium9" defaultPivotStyle="PivotStyleLight16"/>
  <colors>
    <mruColors>
      <color rgb="FFFFFFCC"/>
      <color rgb="FF669A32"/>
      <color rgb="FF9FD06E"/>
      <color rgb="FF232323"/>
      <color rgb="FF00CC66"/>
      <color rgb="FF0066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ing\ARR%202026-27\ARR%2015.10.2025\FA%20Accounts%20data%20on%20ARR%202026-27\ARR%20dt%2013.10.2025\O&amp;M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cer\Desktop\Variation%20of%20Filed%20and%20Approved%20MYT%2027.06.202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25-26H1"/>
      <sheetName val="O&amp;M"/>
      <sheetName val="inlu YTPS"/>
      <sheetName val="ERC   Approved  YTPS+"/>
      <sheetName val="O&amp;M1"/>
      <sheetName val="Ex YTPS O&amp;M "/>
      <sheetName val="Sheet1"/>
      <sheetName val="Sheet1 (2)"/>
      <sheetName val="Sheet2"/>
      <sheetName val="Sheet3"/>
      <sheetName val="PRC effect"/>
    </sheetNames>
    <sheetDataSet>
      <sheetData sheetId="0"/>
      <sheetData sheetId="1"/>
      <sheetData sheetId="2"/>
      <sheetData sheetId="3"/>
      <sheetData sheetId="4"/>
      <sheetData sheetId="5">
        <row r="12">
          <cell r="J12">
            <v>0</v>
          </cell>
          <cell r="K12">
            <v>0</v>
          </cell>
          <cell r="L12">
            <v>0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proved MTRMY Fixed Charges"/>
      <sheetName val="Variation MTR actual (2)"/>
      <sheetName val="Variation MTR actual"/>
      <sheetName val="Emp Adm R&amp;M"/>
      <sheetName val="Variation of EMP adm R&amp;M"/>
      <sheetName val="Sheet1"/>
      <sheetName val="Sheet2"/>
      <sheetName val="Sheet3"/>
    </sheetNames>
    <sheetDataSet>
      <sheetData sheetId="0" refreshError="1">
        <row r="5">
          <cell r="C5">
            <v>1.44</v>
          </cell>
          <cell r="D5">
            <v>0.23</v>
          </cell>
          <cell r="E5">
            <v>33.74</v>
          </cell>
          <cell r="F5">
            <v>206.99</v>
          </cell>
          <cell r="G5">
            <v>104.8</v>
          </cell>
        </row>
        <row r="6">
          <cell r="C6">
            <v>45.25</v>
          </cell>
          <cell r="D6">
            <v>0</v>
          </cell>
          <cell r="E6">
            <v>32.96</v>
          </cell>
          <cell r="F6">
            <v>206.97</v>
          </cell>
          <cell r="G6">
            <v>114.02</v>
          </cell>
        </row>
        <row r="7">
          <cell r="C7">
            <v>186.42</v>
          </cell>
          <cell r="D7">
            <v>242.01</v>
          </cell>
          <cell r="E7">
            <v>61.34</v>
          </cell>
          <cell r="F7">
            <v>483.04</v>
          </cell>
          <cell r="G7">
            <v>243.82</v>
          </cell>
        </row>
        <row r="8">
          <cell r="C8">
            <v>1.18</v>
          </cell>
          <cell r="D8" t="str">
            <v>-</v>
          </cell>
          <cell r="E8">
            <v>0.2</v>
          </cell>
          <cell r="F8">
            <v>17.48</v>
          </cell>
          <cell r="G8">
            <v>1.03</v>
          </cell>
        </row>
        <row r="9">
          <cell r="C9">
            <v>88.68</v>
          </cell>
          <cell r="E9">
            <v>30.45</v>
          </cell>
          <cell r="F9">
            <v>180.28</v>
          </cell>
          <cell r="G9">
            <v>117.51</v>
          </cell>
        </row>
        <row r="10">
          <cell r="C10">
            <v>127.75</v>
          </cell>
          <cell r="D10">
            <v>96.93</v>
          </cell>
          <cell r="E10">
            <v>37.36</v>
          </cell>
          <cell r="F10">
            <v>204.77</v>
          </cell>
          <cell r="G10">
            <v>174.77</v>
          </cell>
        </row>
        <row r="11">
          <cell r="C11">
            <v>274.31</v>
          </cell>
          <cell r="D11">
            <v>387.89</v>
          </cell>
          <cell r="E11">
            <v>70.14</v>
          </cell>
          <cell r="F11">
            <v>189.59</v>
          </cell>
          <cell r="G11">
            <v>377.86</v>
          </cell>
        </row>
        <row r="12">
          <cell r="C12">
            <v>87.97</v>
          </cell>
          <cell r="D12">
            <v>0</v>
          </cell>
          <cell r="E12">
            <v>6.5</v>
          </cell>
          <cell r="F12">
            <v>117.51</v>
          </cell>
          <cell r="G12">
            <v>73.069999999999993</v>
          </cell>
        </row>
        <row r="13">
          <cell r="C13">
            <v>86.43</v>
          </cell>
          <cell r="D13">
            <v>24.01</v>
          </cell>
          <cell r="E13">
            <v>8.58</v>
          </cell>
          <cell r="F13">
            <v>100.18</v>
          </cell>
          <cell r="G13">
            <v>128.07</v>
          </cell>
        </row>
        <row r="14">
          <cell r="C14">
            <v>4.04</v>
          </cell>
          <cell r="D14">
            <v>0</v>
          </cell>
          <cell r="E14">
            <v>1.1299999999999999</v>
          </cell>
          <cell r="F14">
            <v>42.19</v>
          </cell>
          <cell r="G14">
            <v>4.57</v>
          </cell>
        </row>
        <row r="15">
          <cell r="C15">
            <v>0.9</v>
          </cell>
          <cell r="D15">
            <v>0</v>
          </cell>
          <cell r="E15">
            <v>0.22</v>
          </cell>
          <cell r="F15">
            <v>7.27</v>
          </cell>
          <cell r="G15">
            <v>1.57</v>
          </cell>
        </row>
        <row r="16">
          <cell r="C16">
            <v>0.72</v>
          </cell>
          <cell r="D16">
            <v>0.65</v>
          </cell>
          <cell r="E16">
            <v>0.21</v>
          </cell>
          <cell r="F16">
            <v>6.99</v>
          </cell>
          <cell r="G16">
            <v>1.1200000000000001</v>
          </cell>
        </row>
        <row r="17">
          <cell r="C17">
            <v>20.11</v>
          </cell>
          <cell r="D17">
            <v>11.1</v>
          </cell>
          <cell r="E17">
            <v>2.12</v>
          </cell>
          <cell r="F17">
            <v>33.54</v>
          </cell>
          <cell r="G17">
            <v>23.83</v>
          </cell>
        </row>
        <row r="18">
          <cell r="C18">
            <v>51.31</v>
          </cell>
          <cell r="D18">
            <v>46.89</v>
          </cell>
          <cell r="E18">
            <v>4.4400000000000004</v>
          </cell>
          <cell r="F18">
            <v>33.68</v>
          </cell>
          <cell r="G18">
            <v>61.95</v>
          </cell>
        </row>
        <row r="19">
          <cell r="C19">
            <v>10.220000000000001</v>
          </cell>
          <cell r="D19">
            <v>19.21</v>
          </cell>
          <cell r="E19">
            <v>1.86</v>
          </cell>
          <cell r="F19">
            <v>38.549999999999997</v>
          </cell>
          <cell r="G19">
            <v>16.989999999999998</v>
          </cell>
        </row>
        <row r="29">
          <cell r="C29">
            <v>1.44</v>
          </cell>
          <cell r="D29">
            <v>0.38</v>
          </cell>
          <cell r="E29">
            <v>34.46</v>
          </cell>
          <cell r="F29">
            <v>218.71</v>
          </cell>
          <cell r="G29">
            <v>141.46</v>
          </cell>
        </row>
        <row r="30">
          <cell r="C30">
            <v>45.25</v>
          </cell>
          <cell r="D30">
            <v>0</v>
          </cell>
          <cell r="E30">
            <v>33.700000000000003</v>
          </cell>
          <cell r="F30">
            <v>218.59</v>
          </cell>
          <cell r="G30">
            <v>153.68</v>
          </cell>
        </row>
        <row r="31">
          <cell r="C31">
            <v>186.42</v>
          </cell>
          <cell r="D31">
            <v>223.03</v>
          </cell>
          <cell r="E31">
            <v>62.76</v>
          </cell>
          <cell r="F31">
            <v>510.66</v>
          </cell>
          <cell r="G31">
            <v>328.62</v>
          </cell>
        </row>
        <row r="33">
          <cell r="C33">
            <v>88.68</v>
          </cell>
          <cell r="D33">
            <v>0</v>
          </cell>
          <cell r="E33">
            <v>31.17</v>
          </cell>
          <cell r="F33">
            <v>190.43</v>
          </cell>
          <cell r="G33">
            <v>158.38</v>
          </cell>
        </row>
        <row r="34">
          <cell r="C34">
            <v>127.75</v>
          </cell>
          <cell r="D34">
            <v>83.78</v>
          </cell>
          <cell r="E34">
            <v>38.19</v>
          </cell>
          <cell r="F34">
            <v>216.29</v>
          </cell>
          <cell r="G34">
            <v>235.56</v>
          </cell>
        </row>
        <row r="35">
          <cell r="C35">
            <v>280.08999999999997</v>
          </cell>
          <cell r="D35">
            <v>372.99</v>
          </cell>
          <cell r="E35">
            <v>72.39</v>
          </cell>
          <cell r="F35">
            <v>200.86</v>
          </cell>
          <cell r="G35">
            <v>518.27</v>
          </cell>
        </row>
        <row r="36">
          <cell r="C36">
            <v>87.97</v>
          </cell>
          <cell r="D36">
            <v>0</v>
          </cell>
          <cell r="E36">
            <v>7.03</v>
          </cell>
          <cell r="F36">
            <v>124.54</v>
          </cell>
          <cell r="G36">
            <v>97.82</v>
          </cell>
        </row>
        <row r="37">
          <cell r="C37">
            <v>86.43</v>
          </cell>
          <cell r="D37">
            <v>15.88</v>
          </cell>
          <cell r="E37">
            <v>9.25</v>
          </cell>
          <cell r="F37">
            <v>106.14</v>
          </cell>
          <cell r="G37">
            <v>171.02</v>
          </cell>
        </row>
        <row r="38">
          <cell r="C38">
            <v>1.2</v>
          </cell>
          <cell r="D38">
            <v>0</v>
          </cell>
          <cell r="E38">
            <v>1.1599999999999999</v>
          </cell>
          <cell r="F38">
            <v>44.62</v>
          </cell>
          <cell r="G38">
            <v>6.03</v>
          </cell>
        </row>
        <row r="39">
          <cell r="C39">
            <v>0.9</v>
          </cell>
          <cell r="D39">
            <v>0</v>
          </cell>
          <cell r="E39">
            <v>0.23</v>
          </cell>
          <cell r="F39">
            <v>7.69</v>
          </cell>
          <cell r="G39">
            <v>2.0699999999999998</v>
          </cell>
        </row>
        <row r="40">
          <cell r="C40">
            <v>0.57999999999999996</v>
          </cell>
          <cell r="D40">
            <v>0.57999999999999996</v>
          </cell>
          <cell r="E40">
            <v>0.22</v>
          </cell>
          <cell r="F40">
            <v>7.39</v>
          </cell>
          <cell r="G40">
            <v>1.47</v>
          </cell>
        </row>
        <row r="41">
          <cell r="C41">
            <v>14.08</v>
          </cell>
          <cell r="D41">
            <v>8.69</v>
          </cell>
          <cell r="E41">
            <v>2.15</v>
          </cell>
          <cell r="F41">
            <v>35.46</v>
          </cell>
          <cell r="G41">
            <v>32.119999999999997</v>
          </cell>
        </row>
        <row r="42">
          <cell r="C42">
            <v>51.47</v>
          </cell>
          <cell r="D42">
            <v>42.03</v>
          </cell>
          <cell r="E42">
            <v>4.68</v>
          </cell>
          <cell r="F42">
            <v>35.61</v>
          </cell>
          <cell r="G42">
            <v>81.97</v>
          </cell>
        </row>
        <row r="43">
          <cell r="C43">
            <v>10.220000000000001</v>
          </cell>
          <cell r="D43">
            <v>18.45</v>
          </cell>
          <cell r="E43">
            <v>1.99</v>
          </cell>
          <cell r="F43">
            <v>40.79</v>
          </cell>
          <cell r="G43">
            <v>22.74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0"/>
  <sheetViews>
    <sheetView topLeftCell="A2" zoomScale="110" zoomScaleNormal="110" zoomScaleSheetLayoutView="100" workbookViewId="0">
      <pane xSplit="2" topLeftCell="C1" activePane="topRight" state="frozen"/>
      <selection pane="topRight" activeCell="N9" sqref="N9"/>
    </sheetView>
  </sheetViews>
  <sheetFormatPr defaultRowHeight="15" x14ac:dyDescent="0.25"/>
  <cols>
    <col min="1" max="1" width="5.7109375" bestFit="1" customWidth="1"/>
    <col min="2" max="2" width="18.42578125" customWidth="1"/>
    <col min="3" max="3" width="10.85546875" customWidth="1"/>
    <col min="4" max="4" width="12.5703125" customWidth="1"/>
    <col min="5" max="5" width="11" customWidth="1"/>
    <col min="6" max="6" width="9.42578125" customWidth="1"/>
    <col min="7" max="7" width="11.140625" customWidth="1"/>
    <col min="8" max="8" width="12" customWidth="1"/>
    <col min="9" max="9" width="10.42578125" customWidth="1"/>
    <col min="10" max="10" width="12.140625" customWidth="1"/>
    <col min="11" max="11" width="12" customWidth="1"/>
    <col min="12" max="12" width="12.85546875" customWidth="1"/>
  </cols>
  <sheetData>
    <row r="1" spans="1:12" ht="18.75" x14ac:dyDescent="0.3">
      <c r="A1" s="467" t="s">
        <v>90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</row>
    <row r="2" spans="1:12" s="2" customFormat="1" ht="75" x14ac:dyDescent="0.25">
      <c r="A2" s="1" t="s">
        <v>1</v>
      </c>
      <c r="B2" s="1" t="s">
        <v>2</v>
      </c>
      <c r="C2" s="1" t="s">
        <v>3</v>
      </c>
      <c r="D2" s="13" t="s">
        <v>106</v>
      </c>
      <c r="E2" s="1" t="s">
        <v>20</v>
      </c>
      <c r="F2" s="13" t="s">
        <v>107</v>
      </c>
      <c r="G2" s="1" t="s">
        <v>130</v>
      </c>
      <c r="H2" s="13" t="s">
        <v>303</v>
      </c>
      <c r="I2" s="1" t="s">
        <v>131</v>
      </c>
      <c r="J2" s="13" t="s">
        <v>301</v>
      </c>
      <c r="K2" s="1" t="s">
        <v>143</v>
      </c>
      <c r="L2" s="1" t="s">
        <v>302</v>
      </c>
    </row>
    <row r="3" spans="1:12" x14ac:dyDescent="0.25">
      <c r="A3" s="3">
        <v>1</v>
      </c>
      <c r="B3" s="4" t="s">
        <v>4</v>
      </c>
      <c r="C3" s="5">
        <v>2269.87</v>
      </c>
      <c r="D3" s="12">
        <v>0</v>
      </c>
      <c r="E3" s="5">
        <f>C3+D3</f>
        <v>2269.87</v>
      </c>
      <c r="F3" s="12">
        <v>0.17</v>
      </c>
      <c r="G3" s="12">
        <f>E3+F3</f>
        <v>2270.04</v>
      </c>
      <c r="H3" s="12">
        <f>ROUND(11.545152048,2)</f>
        <v>11.55</v>
      </c>
      <c r="I3" s="12">
        <f>G3+H3</f>
        <v>2281.59</v>
      </c>
      <c r="J3" s="263"/>
      <c r="K3" s="12">
        <f>I3+J3</f>
        <v>2281.59</v>
      </c>
      <c r="L3" s="12">
        <f>ROUND(50.65/2+3.5/2,2)</f>
        <v>27.08</v>
      </c>
    </row>
    <row r="4" spans="1:12" x14ac:dyDescent="0.25">
      <c r="A4" s="3">
        <v>2</v>
      </c>
      <c r="B4" s="4" t="s">
        <v>5</v>
      </c>
      <c r="C4" s="5">
        <v>2473.36</v>
      </c>
      <c r="D4" s="12">
        <v>-0.13</v>
      </c>
      <c r="E4" s="5">
        <f t="shared" ref="E4:E17" si="0">C4+D4</f>
        <v>2473.23</v>
      </c>
      <c r="F4" s="12">
        <v>0</v>
      </c>
      <c r="G4" s="12">
        <f t="shared" ref="G4:G17" si="1">E4+F4</f>
        <v>2473.23</v>
      </c>
      <c r="H4" s="12">
        <f>ROUND(2.798986432,2)</f>
        <v>2.8</v>
      </c>
      <c r="I4" s="12">
        <f t="shared" ref="I4:I17" si="2">G4+H4</f>
        <v>2476.0300000000002</v>
      </c>
      <c r="J4" s="263">
        <v>0.18</v>
      </c>
      <c r="K4" s="12">
        <f t="shared" ref="K4:K17" si="3">I4+J4</f>
        <v>2476.21</v>
      </c>
      <c r="L4" s="12">
        <f>ROUND(50.65/2+3.5/2,2)</f>
        <v>27.08</v>
      </c>
    </row>
    <row r="5" spans="1:12" x14ac:dyDescent="0.25">
      <c r="A5" s="3">
        <v>3</v>
      </c>
      <c r="B5" s="4" t="s">
        <v>6</v>
      </c>
      <c r="C5" s="5">
        <v>5022.0700000000006</v>
      </c>
      <c r="D5" s="12">
        <v>72.33</v>
      </c>
      <c r="E5" s="5">
        <f>C5+D5</f>
        <v>5094.4000000000005</v>
      </c>
      <c r="F5" s="12">
        <v>14.73</v>
      </c>
      <c r="G5" s="12">
        <f t="shared" si="1"/>
        <v>5109.13</v>
      </c>
      <c r="H5" s="12">
        <f>ROUND(3.441779228,2)</f>
        <v>3.44</v>
      </c>
      <c r="I5" s="12">
        <f t="shared" si="2"/>
        <v>5112.57</v>
      </c>
      <c r="J5" s="263"/>
      <c r="K5" s="12">
        <f t="shared" si="3"/>
        <v>5112.57</v>
      </c>
      <c r="L5" s="12">
        <v>4.97</v>
      </c>
    </row>
    <row r="6" spans="1:12" x14ac:dyDescent="0.25">
      <c r="A6" s="3">
        <v>4</v>
      </c>
      <c r="B6" s="4" t="s">
        <v>7</v>
      </c>
      <c r="C6" s="5">
        <v>127.04</v>
      </c>
      <c r="D6" s="12">
        <v>0.04</v>
      </c>
      <c r="E6" s="5">
        <v>127.04</v>
      </c>
      <c r="F6" s="12">
        <v>0.04</v>
      </c>
      <c r="G6" s="12">
        <v>127.08000000000001</v>
      </c>
      <c r="H6" s="12"/>
      <c r="I6" s="12"/>
      <c r="J6" s="12"/>
      <c r="K6" s="12"/>
      <c r="L6" s="12"/>
    </row>
    <row r="7" spans="1:12" x14ac:dyDescent="0.25">
      <c r="A7" s="3">
        <v>5</v>
      </c>
      <c r="B7" s="4" t="s">
        <v>8</v>
      </c>
      <c r="C7" s="5">
        <v>2548.83</v>
      </c>
      <c r="D7" s="12">
        <v>0</v>
      </c>
      <c r="E7" s="5">
        <f t="shared" si="0"/>
        <v>2548.83</v>
      </c>
      <c r="F7" s="12">
        <v>0.14000000000000001</v>
      </c>
      <c r="G7" s="12">
        <f t="shared" si="1"/>
        <v>2548.9699999999998</v>
      </c>
      <c r="H7" s="12">
        <f>ROUND(0.261781048,2)</f>
        <v>0.26</v>
      </c>
      <c r="I7" s="12">
        <f t="shared" si="2"/>
        <v>2549.23</v>
      </c>
      <c r="J7" s="263">
        <v>8.32</v>
      </c>
      <c r="K7" s="12">
        <f t="shared" si="3"/>
        <v>2557.5500000000002</v>
      </c>
      <c r="L7" s="12">
        <v>0</v>
      </c>
    </row>
    <row r="8" spans="1:12" x14ac:dyDescent="0.25">
      <c r="A8" s="3">
        <v>6</v>
      </c>
      <c r="B8" s="4" t="s">
        <v>9</v>
      </c>
      <c r="C8" s="5">
        <v>3767.77</v>
      </c>
      <c r="D8" s="12">
        <v>-6.5</v>
      </c>
      <c r="E8" s="5">
        <f t="shared" si="0"/>
        <v>3761.27</v>
      </c>
      <c r="F8" s="12">
        <v>8.19</v>
      </c>
      <c r="G8" s="12">
        <f t="shared" si="1"/>
        <v>3769.46</v>
      </c>
      <c r="H8" s="12">
        <f>ROUND(3.609805874,20)</f>
        <v>3.6098058740000001</v>
      </c>
      <c r="I8" s="12">
        <f t="shared" si="2"/>
        <v>3773.0698058739999</v>
      </c>
      <c r="J8" s="263">
        <v>5.2</v>
      </c>
      <c r="K8" s="12">
        <f t="shared" si="3"/>
        <v>3778.2698058739998</v>
      </c>
      <c r="L8" s="12">
        <v>93</v>
      </c>
    </row>
    <row r="9" spans="1:12" x14ac:dyDescent="0.25">
      <c r="A9" s="3">
        <v>7</v>
      </c>
      <c r="B9" s="4" t="s">
        <v>10</v>
      </c>
      <c r="C9" s="5">
        <v>6946.29</v>
      </c>
      <c r="D9" s="12">
        <v>312.83</v>
      </c>
      <c r="E9" s="5">
        <f t="shared" si="0"/>
        <v>7259.12</v>
      </c>
      <c r="F9" s="12">
        <v>186.16</v>
      </c>
      <c r="G9" s="12">
        <f t="shared" si="1"/>
        <v>7445.28</v>
      </c>
      <c r="H9" s="12">
        <f>ROUND(95.058196932,2)</f>
        <v>95.06</v>
      </c>
      <c r="I9" s="12">
        <f t="shared" si="2"/>
        <v>7540.34</v>
      </c>
      <c r="J9" s="263">
        <f>25.79+13.43</f>
        <v>39.22</v>
      </c>
      <c r="K9" s="12">
        <f t="shared" si="3"/>
        <v>7579.56</v>
      </c>
      <c r="L9" s="12">
        <v>889.13</v>
      </c>
    </row>
    <row r="10" spans="1:12" s="178" customFormat="1" x14ac:dyDescent="0.25">
      <c r="A10" s="3">
        <v>8</v>
      </c>
      <c r="B10" s="179" t="s">
        <v>11</v>
      </c>
      <c r="C10" s="180">
        <v>1920.8</v>
      </c>
      <c r="D10" s="181">
        <v>0</v>
      </c>
      <c r="E10" s="180">
        <f t="shared" si="0"/>
        <v>1920.8</v>
      </c>
      <c r="F10" s="181">
        <v>2.66</v>
      </c>
      <c r="G10" s="181">
        <f t="shared" si="1"/>
        <v>1923.46</v>
      </c>
      <c r="H10" s="181">
        <f>ROUND(2.372981169,2)</f>
        <v>2.37</v>
      </c>
      <c r="I10" s="12">
        <f t="shared" si="2"/>
        <v>1925.83</v>
      </c>
      <c r="J10" s="12"/>
      <c r="K10" s="12">
        <f t="shared" si="3"/>
        <v>1925.83</v>
      </c>
      <c r="L10" s="12"/>
    </row>
    <row r="11" spans="1:12" x14ac:dyDescent="0.25">
      <c r="A11" s="3">
        <v>9</v>
      </c>
      <c r="B11" s="4" t="s">
        <v>12</v>
      </c>
      <c r="C11" s="5">
        <v>3375.71</v>
      </c>
      <c r="D11" s="12">
        <v>0</v>
      </c>
      <c r="E11" s="5">
        <f t="shared" si="0"/>
        <v>3375.71</v>
      </c>
      <c r="F11" s="12">
        <v>8.5</v>
      </c>
      <c r="G11" s="12">
        <f t="shared" si="1"/>
        <v>3384.21</v>
      </c>
      <c r="H11" s="12">
        <f>ROUND(16.45737749,2)-0.24</f>
        <v>16.220000000000002</v>
      </c>
      <c r="I11" s="12">
        <f t="shared" si="2"/>
        <v>3400.43</v>
      </c>
      <c r="J11" s="12"/>
      <c r="K11" s="12">
        <f t="shared" si="3"/>
        <v>3400.43</v>
      </c>
      <c r="L11" s="12"/>
    </row>
    <row r="12" spans="1:12" x14ac:dyDescent="0.25">
      <c r="A12" s="3">
        <v>10</v>
      </c>
      <c r="B12" s="4" t="s">
        <v>13</v>
      </c>
      <c r="C12" s="5">
        <v>121.79</v>
      </c>
      <c r="D12" s="12">
        <v>0.1</v>
      </c>
      <c r="E12" s="5">
        <f t="shared" si="0"/>
        <v>121.89</v>
      </c>
      <c r="F12" s="12">
        <v>0.05</v>
      </c>
      <c r="G12" s="12">
        <f t="shared" si="1"/>
        <v>121.94</v>
      </c>
      <c r="H12" s="12">
        <v>0.04</v>
      </c>
      <c r="I12" s="12">
        <f t="shared" si="2"/>
        <v>121.98</v>
      </c>
      <c r="J12" s="12"/>
      <c r="K12" s="12">
        <f t="shared" si="3"/>
        <v>121.98</v>
      </c>
      <c r="L12" s="12"/>
    </row>
    <row r="13" spans="1:12" x14ac:dyDescent="0.25">
      <c r="A13" s="3">
        <v>11</v>
      </c>
      <c r="B13" s="4" t="s">
        <v>14</v>
      </c>
      <c r="C13" s="5">
        <v>31.23</v>
      </c>
      <c r="D13" s="12">
        <v>0</v>
      </c>
      <c r="E13" s="5">
        <f t="shared" si="0"/>
        <v>31.23</v>
      </c>
      <c r="F13" s="12">
        <v>0.04</v>
      </c>
      <c r="G13" s="12">
        <f t="shared" si="1"/>
        <v>31.27</v>
      </c>
      <c r="H13" s="12"/>
      <c r="I13" s="12">
        <f t="shared" si="2"/>
        <v>31.27</v>
      </c>
      <c r="J13" s="12"/>
      <c r="K13" s="12">
        <f t="shared" si="3"/>
        <v>31.27</v>
      </c>
      <c r="L13" s="12"/>
    </row>
    <row r="14" spans="1:12" s="178" customFormat="1" x14ac:dyDescent="0.25">
      <c r="A14" s="3">
        <v>12</v>
      </c>
      <c r="B14" s="179" t="s">
        <v>15</v>
      </c>
      <c r="C14" s="180">
        <v>29.74</v>
      </c>
      <c r="D14" s="181">
        <v>0</v>
      </c>
      <c r="E14" s="180">
        <f t="shared" si="0"/>
        <v>29.74</v>
      </c>
      <c r="F14" s="181">
        <v>0</v>
      </c>
      <c r="G14" s="181">
        <f t="shared" si="1"/>
        <v>29.74</v>
      </c>
      <c r="H14" s="181"/>
      <c r="I14" s="12">
        <f t="shared" si="2"/>
        <v>29.74</v>
      </c>
      <c r="J14" s="12"/>
      <c r="K14" s="12">
        <f t="shared" si="3"/>
        <v>29.74</v>
      </c>
      <c r="L14" s="12"/>
    </row>
    <row r="15" spans="1:12" x14ac:dyDescent="0.25">
      <c r="A15" s="3">
        <v>13</v>
      </c>
      <c r="B15" s="4" t="s">
        <v>16</v>
      </c>
      <c r="C15" s="5">
        <v>690.68</v>
      </c>
      <c r="D15" s="12">
        <v>0</v>
      </c>
      <c r="E15" s="5">
        <f t="shared" si="0"/>
        <v>690.68</v>
      </c>
      <c r="F15" s="12">
        <v>1.82</v>
      </c>
      <c r="G15" s="12">
        <f t="shared" si="1"/>
        <v>692.5</v>
      </c>
      <c r="H15" s="12">
        <v>0.03</v>
      </c>
      <c r="I15" s="12">
        <f t="shared" si="2"/>
        <v>692.53</v>
      </c>
      <c r="J15" s="12"/>
      <c r="K15" s="12">
        <f t="shared" si="3"/>
        <v>692.53</v>
      </c>
      <c r="L15" s="12"/>
    </row>
    <row r="16" spans="1:12" x14ac:dyDescent="0.25">
      <c r="A16" s="3">
        <v>14</v>
      </c>
      <c r="B16" s="4" t="s">
        <v>17</v>
      </c>
      <c r="C16" s="5">
        <v>1627.47</v>
      </c>
      <c r="D16" s="12">
        <v>4.1100000000000003</v>
      </c>
      <c r="E16" s="5">
        <f t="shared" si="0"/>
        <v>1631.58</v>
      </c>
      <c r="F16" s="12">
        <v>4.2300000000000004</v>
      </c>
      <c r="G16" s="12">
        <f t="shared" si="1"/>
        <v>1635.81</v>
      </c>
      <c r="H16" s="12">
        <v>8.43</v>
      </c>
      <c r="I16" s="12">
        <f t="shared" si="2"/>
        <v>1644.24</v>
      </c>
      <c r="J16" s="12"/>
      <c r="K16" s="12">
        <f t="shared" si="3"/>
        <v>1644.24</v>
      </c>
      <c r="L16" s="12">
        <v>12.6</v>
      </c>
    </row>
    <row r="17" spans="1:12" x14ac:dyDescent="0.25">
      <c r="A17" s="3">
        <v>15</v>
      </c>
      <c r="B17" s="4" t="s">
        <v>18</v>
      </c>
      <c r="C17" s="5">
        <v>440.68</v>
      </c>
      <c r="D17" s="12">
        <v>0.04</v>
      </c>
      <c r="E17" s="5">
        <f t="shared" si="0"/>
        <v>440.72</v>
      </c>
      <c r="F17" s="12">
        <v>0.04</v>
      </c>
      <c r="G17" s="12">
        <f t="shared" si="1"/>
        <v>440.76000000000005</v>
      </c>
      <c r="H17" s="12"/>
      <c r="I17" s="12">
        <f t="shared" si="2"/>
        <v>440.76000000000005</v>
      </c>
      <c r="J17" s="12"/>
      <c r="K17" s="12">
        <f t="shared" si="3"/>
        <v>440.76000000000005</v>
      </c>
      <c r="L17" s="12"/>
    </row>
    <row r="18" spans="1:12" x14ac:dyDescent="0.25">
      <c r="A18" s="6"/>
      <c r="B18" s="6" t="s">
        <v>19</v>
      </c>
      <c r="C18" s="7">
        <f>SUM(C3:C17)</f>
        <v>31393.33</v>
      </c>
      <c r="D18" s="7">
        <f>SUM(D3:D17)</f>
        <v>382.82000000000005</v>
      </c>
      <c r="E18" s="7">
        <f>SUM(E3:E17)</f>
        <v>31776.11</v>
      </c>
      <c r="F18" s="50">
        <f>SUM(F3:F17)</f>
        <v>226.76999999999998</v>
      </c>
      <c r="G18" s="50">
        <f>SUM(G3:G17)</f>
        <v>32002.879999999997</v>
      </c>
      <c r="H18" s="50">
        <f t="shared" ref="H18:L18" si="4">SUM(H3:H17)</f>
        <v>143.80980587400001</v>
      </c>
      <c r="I18" s="50">
        <f t="shared" si="4"/>
        <v>32019.609805873999</v>
      </c>
      <c r="J18" s="50">
        <f t="shared" si="4"/>
        <v>52.92</v>
      </c>
      <c r="K18" s="50">
        <f t="shared" si="4"/>
        <v>32072.529805873997</v>
      </c>
      <c r="L18" s="50">
        <f t="shared" si="4"/>
        <v>1053.8599999999999</v>
      </c>
    </row>
    <row r="19" spans="1:12" x14ac:dyDescent="0.25">
      <c r="C19" s="45"/>
      <c r="D19" s="45"/>
      <c r="H19" s="45"/>
    </row>
    <row r="20" spans="1:12" x14ac:dyDescent="0.25">
      <c r="D20" s="45"/>
    </row>
  </sheetData>
  <mergeCells count="1">
    <mergeCell ref="A1:L1"/>
  </mergeCells>
  <pageMargins left="0.2" right="0.2" top="0.49803149600000002" bottom="0.49803149600000002" header="0.22" footer="0.31496062992126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BB59"/>
  <sheetViews>
    <sheetView topLeftCell="V1" zoomScale="93" zoomScaleNormal="93" workbookViewId="0">
      <selection activeCell="AI18" sqref="AI18"/>
    </sheetView>
  </sheetViews>
  <sheetFormatPr defaultColWidth="9.140625" defaultRowHeight="15.75" x14ac:dyDescent="0.25"/>
  <cols>
    <col min="1" max="1" width="4.42578125" style="19" customWidth="1"/>
    <col min="2" max="2" width="9.140625" style="19"/>
    <col min="3" max="3" width="20.42578125" style="19" customWidth="1"/>
    <col min="4" max="4" width="11" style="19" customWidth="1"/>
    <col min="5" max="8" width="12.5703125" style="19" customWidth="1"/>
    <col min="9" max="9" width="14.28515625" style="19" customWidth="1"/>
    <col min="10" max="11" width="12.5703125" style="19" customWidth="1"/>
    <col min="12" max="12" width="17.140625" style="19" bestFit="1" customWidth="1"/>
    <col min="13" max="13" width="9.28515625" style="19" bestFit="1" customWidth="1"/>
    <col min="14" max="14" width="14.28515625" style="19" customWidth="1"/>
    <col min="15" max="15" width="9.5703125" style="19" bestFit="1" customWidth="1"/>
    <col min="16" max="16" width="11.85546875" style="19" customWidth="1"/>
    <col min="17" max="18" width="10.28515625" style="19" customWidth="1"/>
    <col min="19" max="19" width="13.28515625" style="19" bestFit="1" customWidth="1"/>
    <col min="20" max="20" width="12.28515625" style="19" bestFit="1" customWidth="1"/>
    <col min="21" max="22" width="10.85546875" style="19" customWidth="1"/>
    <col min="23" max="23" width="10.140625" style="19" customWidth="1"/>
    <col min="24" max="24" width="10" style="19" customWidth="1"/>
    <col min="25" max="25" width="8.5703125" style="19" customWidth="1"/>
    <col min="26" max="26" width="9.85546875" style="19" customWidth="1"/>
    <col min="27" max="28" width="12.140625" style="19" customWidth="1"/>
    <col min="29" max="29" width="13" style="19" customWidth="1"/>
    <col min="30" max="30" width="11.5703125" style="19" customWidth="1"/>
    <col min="31" max="31" width="11.85546875" style="19" customWidth="1"/>
    <col min="32" max="32" width="9.140625" style="19" customWidth="1"/>
    <col min="33" max="37" width="9.140625" style="19"/>
    <col min="38" max="38" width="11.7109375" style="19" customWidth="1"/>
    <col min="39" max="39" width="14.140625" style="19" customWidth="1"/>
    <col min="40" max="40" width="9.140625" style="19"/>
    <col min="41" max="41" width="15" style="19" customWidth="1"/>
    <col min="42" max="42" width="16.5703125" style="19" customWidth="1"/>
    <col min="43" max="46" width="9.140625" style="19"/>
    <col min="47" max="47" width="16.5703125" style="19" bestFit="1" customWidth="1"/>
    <col min="48" max="51" width="16.7109375" style="19" bestFit="1" customWidth="1"/>
    <col min="52" max="52" width="15.42578125" style="19" bestFit="1" customWidth="1"/>
    <col min="53" max="53" width="22.7109375" style="19" bestFit="1" customWidth="1"/>
    <col min="54" max="54" width="15.42578125" style="19" bestFit="1" customWidth="1"/>
    <col min="55" max="16384" width="9.140625" style="19"/>
  </cols>
  <sheetData>
    <row r="1" spans="2:54" x14ac:dyDescent="0.25">
      <c r="Y1" s="122"/>
      <c r="Z1" s="26"/>
      <c r="AA1" s="29"/>
    </row>
    <row r="2" spans="2:54" x14ac:dyDescent="0.25">
      <c r="B2" s="483" t="s">
        <v>104</v>
      </c>
      <c r="C2" s="483"/>
      <c r="D2" s="483"/>
      <c r="E2" s="483"/>
      <c r="F2" s="483"/>
      <c r="G2" s="483"/>
      <c r="H2" s="483"/>
      <c r="I2" s="483"/>
      <c r="J2" s="483"/>
      <c r="K2" s="483"/>
      <c r="L2" s="19" t="s">
        <v>83</v>
      </c>
      <c r="M2" s="26">
        <f>8.91</f>
        <v>8.91</v>
      </c>
      <c r="Y2" s="122"/>
    </row>
    <row r="3" spans="2:54" x14ac:dyDescent="0.25">
      <c r="C3" s="22" t="s">
        <v>136</v>
      </c>
      <c r="L3" s="19" t="s">
        <v>53</v>
      </c>
      <c r="M3" s="26">
        <f>M2+1.5</f>
        <v>10.41</v>
      </c>
      <c r="Q3" s="20" t="s">
        <v>54</v>
      </c>
      <c r="U3" s="22" t="s">
        <v>136</v>
      </c>
      <c r="Y3" s="122"/>
    </row>
    <row r="4" spans="2:54" ht="78.75" x14ac:dyDescent="0.25">
      <c r="B4" s="8" t="s">
        <v>1</v>
      </c>
      <c r="C4" s="30" t="s">
        <v>2</v>
      </c>
      <c r="D4" s="9" t="s">
        <v>55</v>
      </c>
      <c r="E4" s="31" t="s">
        <v>173</v>
      </c>
      <c r="F4" s="31" t="s">
        <v>82</v>
      </c>
      <c r="G4" s="31" t="s">
        <v>174</v>
      </c>
      <c r="H4" s="31" t="s">
        <v>56</v>
      </c>
      <c r="I4" s="31" t="s">
        <v>168</v>
      </c>
      <c r="J4" s="31" t="s">
        <v>172</v>
      </c>
      <c r="K4" s="31" t="s">
        <v>69</v>
      </c>
      <c r="L4" s="31" t="s">
        <v>57</v>
      </c>
      <c r="M4" s="31" t="s">
        <v>58</v>
      </c>
      <c r="N4" s="31" t="s">
        <v>59</v>
      </c>
      <c r="P4" s="9" t="s">
        <v>169</v>
      </c>
      <c r="Q4" s="9" t="s">
        <v>60</v>
      </c>
      <c r="R4" s="8" t="s">
        <v>51</v>
      </c>
      <c r="S4" s="30" t="s">
        <v>61</v>
      </c>
      <c r="T4" s="8" t="s">
        <v>62</v>
      </c>
      <c r="U4" s="8" t="s">
        <v>48</v>
      </c>
      <c r="V4" s="8" t="s">
        <v>98</v>
      </c>
      <c r="W4" s="32" t="s">
        <v>63</v>
      </c>
      <c r="X4" s="33" t="s">
        <v>67</v>
      </c>
      <c r="Y4" s="33" t="s">
        <v>68</v>
      </c>
      <c r="Z4" s="33" t="s">
        <v>78</v>
      </c>
      <c r="AA4" s="32" t="s">
        <v>70</v>
      </c>
      <c r="AB4" s="32" t="s">
        <v>71</v>
      </c>
      <c r="AC4" s="32" t="s">
        <v>99</v>
      </c>
      <c r="AD4" s="32" t="s">
        <v>64</v>
      </c>
      <c r="AE4" s="9" t="s">
        <v>65</v>
      </c>
      <c r="AF4" s="34" t="s">
        <v>79</v>
      </c>
      <c r="AG4" s="103" t="s">
        <v>425</v>
      </c>
      <c r="AH4" s="103" t="s">
        <v>406</v>
      </c>
      <c r="AI4" s="103" t="s">
        <v>426</v>
      </c>
      <c r="AJ4" s="103" t="s">
        <v>427</v>
      </c>
      <c r="AK4" s="103" t="s">
        <v>428</v>
      </c>
      <c r="AL4" s="103" t="s">
        <v>444</v>
      </c>
      <c r="AM4" s="10" t="s">
        <v>445</v>
      </c>
      <c r="AN4" s="103" t="s">
        <v>446</v>
      </c>
      <c r="AO4" s="103" t="s">
        <v>447</v>
      </c>
      <c r="AP4" s="10" t="s">
        <v>448</v>
      </c>
      <c r="AQ4" s="10" t="s">
        <v>448</v>
      </c>
    </row>
    <row r="5" spans="2:54" ht="17.25" x14ac:dyDescent="0.3">
      <c r="B5" s="23">
        <v>1</v>
      </c>
      <c r="C5" s="10" t="s">
        <v>4</v>
      </c>
      <c r="D5" s="23">
        <v>500</v>
      </c>
      <c r="E5" s="11">
        <f>D5*24*20*85%*(1-0.093)*X5/10000</f>
        <v>74.511256930896351</v>
      </c>
      <c r="F5" s="11">
        <f>D5*24*30*85%*(1-0.093)*X5/10000</f>
        <v>111.76688539634453</v>
      </c>
      <c r="G5" s="11">
        <f>D5*24*85%*(1-0.093)*Y5*30/10000</f>
        <v>1.2040801622870068</v>
      </c>
      <c r="H5" s="11">
        <f>U5/12</f>
        <v>23.804166666666671</v>
      </c>
      <c r="I5" s="11">
        <f>GFA!G3*1%</f>
        <v>22.700399999999998</v>
      </c>
      <c r="J5" s="11">
        <f ca="1">(F5*45/30+G5*45/30+W5*45/365)</f>
        <v>229.16466751602951</v>
      </c>
      <c r="K5" s="11">
        <f>F5+G5</f>
        <v>112.97096555863155</v>
      </c>
      <c r="L5" s="11">
        <f ca="1">SUM(E5:J5)-K5</f>
        <v>350.18049111359255</v>
      </c>
      <c r="M5" s="35">
        <f>$M$3%</f>
        <v>0.1041</v>
      </c>
      <c r="N5" s="11">
        <f ca="1">ROUND(L5*M5,2)</f>
        <v>36.450000000000003</v>
      </c>
      <c r="P5" s="11">
        <f>GFA!G3</f>
        <v>2270.04</v>
      </c>
      <c r="Q5" s="11">
        <f>'Dep''n 23-27'!D5</f>
        <v>29.19</v>
      </c>
      <c r="R5" s="11">
        <f>'ROE '!C5</f>
        <v>141.36000000000001</v>
      </c>
      <c r="S5" s="11">
        <f>'Int. on Loan 24-26'!C4</f>
        <v>0</v>
      </c>
      <c r="T5" s="11">
        <f t="shared" ref="T5:T20" ca="1" si="0">N5</f>
        <v>36.450000000000003</v>
      </c>
      <c r="U5" s="11">
        <f>'O&amp;M'!G6</f>
        <v>285.65000000000003</v>
      </c>
      <c r="V5" s="11">
        <f>'F8-NTI'!B4</f>
        <v>8.35</v>
      </c>
      <c r="W5" s="11">
        <f ca="1">SUM(Q5:U5)-V5</f>
        <v>484.3</v>
      </c>
      <c r="X5" s="305">
        <f>vc!D6</f>
        <v>4.027026013949043</v>
      </c>
      <c r="Y5" s="305">
        <f>vc!E6</f>
        <v>4.3383709935325344E-2</v>
      </c>
      <c r="Z5" s="305">
        <f>vc!F6</f>
        <v>4.0704097238843682</v>
      </c>
      <c r="AA5" s="11">
        <f>X5*AF5/10</f>
        <v>1359.8304389888585</v>
      </c>
      <c r="AB5" s="11">
        <f>Y5*AF5/10</f>
        <v>14.649641974491914</v>
      </c>
      <c r="AC5" s="11">
        <f>Z5*AF5/10</f>
        <v>1374.4800809633502</v>
      </c>
      <c r="AD5" s="11">
        <f t="shared" ref="AD5:AD19" ca="1" si="1">W5+AC5</f>
        <v>1858.7800809633502</v>
      </c>
      <c r="AE5" s="36">
        <v>85</v>
      </c>
      <c r="AF5" s="10">
        <f>AG5</f>
        <v>3376.761</v>
      </c>
      <c r="AG5" s="10">
        <f>D5*24*(1-0.093)*85%*365/1000</f>
        <v>3376.761</v>
      </c>
      <c r="AH5" s="10">
        <v>81.150000000000006</v>
      </c>
      <c r="AI5" s="10">
        <v>2568.9506000000001</v>
      </c>
      <c r="AJ5" s="10">
        <f>AG5*AH5/85</f>
        <v>3223.8135900000002</v>
      </c>
      <c r="AK5" s="10">
        <f>Z5*AI5/10</f>
        <v>1045.6681502418583</v>
      </c>
      <c r="AL5" s="307">
        <v>2568.9506000000001</v>
      </c>
      <c r="AM5" s="10">
        <v>2885.665</v>
      </c>
      <c r="AN5" s="96">
        <f>(AM5-AL5)/AM5</f>
        <v>0.10975438936952135</v>
      </c>
      <c r="AO5" s="307">
        <f>AL5*Z5/10</f>
        <v>1045.6681502418583</v>
      </c>
      <c r="AP5" s="307">
        <v>11026645250.831541</v>
      </c>
      <c r="AQ5" s="10">
        <f>AP5/10000000</f>
        <v>1102.6645250831541</v>
      </c>
    </row>
    <row r="6" spans="2:54" ht="17.25" x14ac:dyDescent="0.3">
      <c r="B6" s="23">
        <v>2</v>
      </c>
      <c r="C6" s="10" t="s">
        <v>5</v>
      </c>
      <c r="D6" s="23">
        <v>500</v>
      </c>
      <c r="E6" s="11">
        <f>D6*24*20*85%*(1-0.0525)*X6/10000</f>
        <v>73.631024145570521</v>
      </c>
      <c r="F6" s="11">
        <f>D6*24*30*85%*(1-0.0525)*X6/10000</f>
        <v>110.44653621835579</v>
      </c>
      <c r="G6" s="11">
        <f>D6*24*85%*(1-0.0525)*Y6*30/10000</f>
        <v>0.24082782953399118</v>
      </c>
      <c r="H6" s="11">
        <f t="shared" ref="H6:H19" si="2">U6/12</f>
        <v>23.804166666666671</v>
      </c>
      <c r="I6" s="11">
        <f>GFA!G4*1%</f>
        <v>24.732300000000002</v>
      </c>
      <c r="J6" s="11">
        <f t="shared" ref="J6:J11" ca="1" si="3">(F6*45/30+G6*45/30+W6*45/365)</f>
        <v>226.42474470197166</v>
      </c>
      <c r="K6" s="11">
        <f t="shared" ref="K6:K11" si="4">F6+G6</f>
        <v>110.68736404788979</v>
      </c>
      <c r="L6" s="11">
        <f t="shared" ref="L6:L19" ca="1" si="5">SUM(E6:J6)-K6</f>
        <v>348.59223551420882</v>
      </c>
      <c r="M6" s="35">
        <f t="shared" ref="M6:M19" si="6">$M$3%</f>
        <v>0.1041</v>
      </c>
      <c r="N6" s="11">
        <f ca="1">ROUND(L6*M6,2)</f>
        <v>36.29</v>
      </c>
      <c r="P6" s="11">
        <f>GFA!G4</f>
        <v>2473.23</v>
      </c>
      <c r="Q6" s="11">
        <f>'Dep''n 23-27'!D6</f>
        <v>22.51</v>
      </c>
      <c r="R6" s="11">
        <f>'ROE '!C6</f>
        <v>153.76</v>
      </c>
      <c r="S6" s="11">
        <f>'Int. on Loan 24-26'!C5</f>
        <v>0</v>
      </c>
      <c r="T6" s="11">
        <f t="shared" ca="1" si="0"/>
        <v>36.29</v>
      </c>
      <c r="U6" s="11">
        <f>'O&amp;M'!G7</f>
        <v>285.65000000000003</v>
      </c>
      <c r="V6" s="11">
        <f>'F8-NTI'!B5</f>
        <v>8.35</v>
      </c>
      <c r="W6" s="11">
        <f t="shared" ref="W6:W19" ca="1" si="7">SUM(Q6:U6)-V6</f>
        <v>489.86</v>
      </c>
      <c r="X6" s="305">
        <f>vc!D7</f>
        <v>3.8093550698727574</v>
      </c>
      <c r="Y6" s="305">
        <f>vc!E7</f>
        <v>8.3062696650625552E-3</v>
      </c>
      <c r="Z6" s="305">
        <f>vc!F7</f>
        <v>3.8176613395378198</v>
      </c>
      <c r="AA6" s="11">
        <f t="shared" ref="AA6:AA10" si="8">X6*AF6/10</f>
        <v>1343.7661906566623</v>
      </c>
      <c r="AB6" s="11">
        <f t="shared" ref="AB6:AB11" si="9">Y6*AF6/10</f>
        <v>2.9300719259968928</v>
      </c>
      <c r="AC6" s="11">
        <f t="shared" ref="AC6:AC11" si="10">Z6*AF6/10</f>
        <v>1346.6962625826591</v>
      </c>
      <c r="AD6" s="11">
        <f t="shared" ca="1" si="1"/>
        <v>1836.5562625826592</v>
      </c>
      <c r="AE6" s="36">
        <v>85</v>
      </c>
      <c r="AF6" s="10">
        <f>D6*24*(1-0.0525)*85%*365/1000</f>
        <v>3527.5425</v>
      </c>
      <c r="AG6" s="10">
        <f>D6*24*(1-0.0525)*85%*365/1000</f>
        <v>3527.5425</v>
      </c>
      <c r="AH6" s="10">
        <v>94.91</v>
      </c>
      <c r="AI6" s="10">
        <v>2903.2345999999966</v>
      </c>
      <c r="AJ6" s="10">
        <f>AI6</f>
        <v>2903.2345999999966</v>
      </c>
      <c r="AK6" s="10">
        <f>Z6*AI6/10</f>
        <v>1108.3566492028535</v>
      </c>
      <c r="AL6" s="307">
        <v>2903.2345999999966</v>
      </c>
      <c r="AM6" s="10">
        <v>3054.6800000000003</v>
      </c>
      <c r="AN6" s="96">
        <f t="shared" ref="AN6:AN11" si="11">(AM6-AL6)/AM6</f>
        <v>4.9578155486009565E-2</v>
      </c>
      <c r="AO6" s="307">
        <f t="shared" ref="AO6:AO11" si="12">AL6*Z6/10</f>
        <v>1108.3566492028535</v>
      </c>
      <c r="AP6" s="10">
        <v>12021658967.945671</v>
      </c>
      <c r="AQ6" s="10">
        <f t="shared" ref="AQ6:AQ12" si="13">AP6/10000000</f>
        <v>1202.1658967945671</v>
      </c>
    </row>
    <row r="7" spans="2:54" ht="17.25" x14ac:dyDescent="0.3">
      <c r="B7" s="23">
        <v>3</v>
      </c>
      <c r="C7" s="10" t="s">
        <v>6</v>
      </c>
      <c r="D7" s="23">
        <v>800</v>
      </c>
      <c r="E7" s="11">
        <f>D7*24*20*85%*(1-0.0525)*X7/10000</f>
        <v>106.38791397976824</v>
      </c>
      <c r="F7" s="11">
        <f>D7*24*30*85%*(1-0.0525)*X7/10000</f>
        <v>159.58187096965236</v>
      </c>
      <c r="G7" s="11">
        <f>D7*24*85%*(1-0.0525)*Y7*30/10000</f>
        <v>0.72270059748438764</v>
      </c>
      <c r="H7" s="11">
        <f t="shared" si="2"/>
        <v>44.728333333333332</v>
      </c>
      <c r="I7" s="11">
        <f>GFA!G5*1%</f>
        <v>51.091300000000004</v>
      </c>
      <c r="J7" s="11">
        <f t="shared" ca="1" si="3"/>
        <v>400.66918611782842</v>
      </c>
      <c r="K7" s="11">
        <f t="shared" si="4"/>
        <v>160.30457156713675</v>
      </c>
      <c r="L7" s="11">
        <f t="shared" ca="1" si="5"/>
        <v>602.87673343093002</v>
      </c>
      <c r="M7" s="35">
        <f t="shared" si="6"/>
        <v>0.1041</v>
      </c>
      <c r="N7" s="11">
        <f t="shared" ref="N7:N19" ca="1" si="14">ROUND(L7*M7,2)</f>
        <v>62.76</v>
      </c>
      <c r="P7" s="11">
        <f>GFA!G5</f>
        <v>5109.13</v>
      </c>
      <c r="Q7" s="11">
        <f>'Dep''n 23-27'!D7</f>
        <v>174.74</v>
      </c>
      <c r="R7" s="11">
        <f>'ROE '!C7</f>
        <v>317.57</v>
      </c>
      <c r="S7" s="11">
        <f>'Int. on Loan 24-26'!C6</f>
        <v>220.61</v>
      </c>
      <c r="T7" s="11">
        <f t="shared" ca="1" si="0"/>
        <v>62.76</v>
      </c>
      <c r="U7" s="11">
        <f>'O&amp;M'!G8</f>
        <v>536.74</v>
      </c>
      <c r="V7" s="11">
        <f>'F8-NTI'!B6</f>
        <v>12.92</v>
      </c>
      <c r="W7" s="11">
        <f t="shared" ca="1" si="7"/>
        <v>1299.5</v>
      </c>
      <c r="X7" s="305">
        <f>vc!D8</f>
        <v>3.4400355029931786</v>
      </c>
      <c r="Y7" s="305">
        <f>vc!E8</f>
        <v>1.5578935741726325E-2</v>
      </c>
      <c r="Z7" s="305">
        <f>vc!F8</f>
        <v>3.455614438734905</v>
      </c>
      <c r="AA7" s="11">
        <f t="shared" si="8"/>
        <v>1941.5794301307706</v>
      </c>
      <c r="AB7" s="11">
        <f t="shared" si="9"/>
        <v>8.792857269393382</v>
      </c>
      <c r="AC7" s="11">
        <f t="shared" si="10"/>
        <v>1950.3722874001639</v>
      </c>
      <c r="AD7" s="11">
        <f t="shared" ca="1" si="1"/>
        <v>3249.8722874001642</v>
      </c>
      <c r="AE7" s="36">
        <v>85</v>
      </c>
      <c r="AF7" s="10">
        <f>D7*24*(1-0.0525)*85%*365/1000</f>
        <v>5644.0680000000002</v>
      </c>
      <c r="AG7" s="10">
        <f>D7*24*(1-0.0525)*85%*365/1000</f>
        <v>5644.0680000000002</v>
      </c>
      <c r="AH7" s="10">
        <v>87.55</v>
      </c>
      <c r="AI7" s="10">
        <v>5288.9838014172001</v>
      </c>
      <c r="AJ7" s="10">
        <f>AI7</f>
        <v>5288.9838014172001</v>
      </c>
      <c r="AK7" s="10">
        <f>AI7*Z7/10</f>
        <v>1827.6688790412304</v>
      </c>
      <c r="AL7" s="307">
        <v>5288.9838014172001</v>
      </c>
      <c r="AM7" s="307">
        <v>5538.9875999999995</v>
      </c>
      <c r="AN7" s="96">
        <f t="shared" si="11"/>
        <v>4.5135287644045168E-2</v>
      </c>
      <c r="AO7" s="307">
        <f t="shared" si="12"/>
        <v>1827.6688790412304</v>
      </c>
      <c r="AP7" s="10">
        <v>19148400324.237324</v>
      </c>
      <c r="AQ7" s="10">
        <f t="shared" si="13"/>
        <v>1914.8400324237323</v>
      </c>
      <c r="AU7" s="366"/>
      <c r="AV7" s="366"/>
      <c r="AW7" s="366"/>
      <c r="AX7" s="366"/>
      <c r="AY7" s="366"/>
    </row>
    <row r="8" spans="2:54" x14ac:dyDescent="0.25">
      <c r="B8" s="23">
        <v>4</v>
      </c>
      <c r="C8" s="10" t="s">
        <v>7</v>
      </c>
      <c r="D8" s="23">
        <v>62.5</v>
      </c>
      <c r="E8" s="11">
        <f>D8*24*20*85%*(1-0.1)*X8/10000</f>
        <v>15.388339898572712</v>
      </c>
      <c r="F8" s="11">
        <f>D8*24*30*85%*(1-0.1)*X8/10000</f>
        <v>23.082509847859065</v>
      </c>
      <c r="G8" s="11">
        <f>D8*24*85%*(1-0.1)*Y8*30/10000</f>
        <v>6.2894475000000005</v>
      </c>
      <c r="H8" s="11">
        <f t="shared" si="2"/>
        <v>1.9816666666666671</v>
      </c>
      <c r="I8" s="11">
        <f>GFA!G6*1%</f>
        <v>1.2708000000000002</v>
      </c>
      <c r="J8" s="11">
        <f ca="1">(F8*45/30+G8*45/30+(Q8+U8+R8+T8-V8)*45/365)</f>
        <v>49.019031912199559</v>
      </c>
      <c r="K8" s="11">
        <f t="shared" si="4"/>
        <v>29.371957347859066</v>
      </c>
      <c r="L8" s="11">
        <f t="shared" ca="1" si="5"/>
        <v>67.659838477438939</v>
      </c>
      <c r="M8" s="35">
        <f t="shared" si="6"/>
        <v>0.1041</v>
      </c>
      <c r="N8" s="11">
        <f t="shared" ca="1" si="14"/>
        <v>7.04</v>
      </c>
      <c r="O8" s="171">
        <f ca="1">ROUND(N8*64/365,2)</f>
        <v>1.23</v>
      </c>
      <c r="P8" s="11">
        <f>GFA!G6</f>
        <v>127.08000000000001</v>
      </c>
      <c r="Q8" s="11">
        <f>'Depn. Cal''n'!L38</f>
        <v>3.32</v>
      </c>
      <c r="R8" s="11">
        <f>'ROE Sheet'!Y8</f>
        <v>7.9</v>
      </c>
      <c r="S8" s="11"/>
      <c r="T8" s="11">
        <f t="shared" ca="1" si="0"/>
        <v>7.04</v>
      </c>
      <c r="U8" s="11">
        <f>'O&amp;M'!G9</f>
        <v>23.780000000000005</v>
      </c>
      <c r="V8" s="11">
        <f>'F8-NTI'!B7</f>
        <v>1.8</v>
      </c>
      <c r="W8" s="11">
        <f ca="1">SUM(Q8:U8)-V8</f>
        <v>40.240000000000009</v>
      </c>
      <c r="X8" s="174">
        <v>6.7051589971994376</v>
      </c>
      <c r="Y8" s="174">
        <v>1.827</v>
      </c>
      <c r="Z8" s="174">
        <v>8.532</v>
      </c>
      <c r="AA8" s="11">
        <f t="shared" si="8"/>
        <v>280.83720314895197</v>
      </c>
      <c r="AB8" s="11">
        <f t="shared" si="9"/>
        <v>76.521611249999992</v>
      </c>
      <c r="AC8" s="11">
        <f t="shared" si="10"/>
        <v>357.35215499999998</v>
      </c>
      <c r="AD8" s="11">
        <f t="shared" ca="1" si="1"/>
        <v>397.59215499999999</v>
      </c>
      <c r="AE8" s="36">
        <v>85</v>
      </c>
      <c r="AF8" s="10">
        <f>D8*24*(1-0.1)*85%*365/1000</f>
        <v>418.83749999999998</v>
      </c>
      <c r="AG8" s="10">
        <f>AF8</f>
        <v>418.83749999999998</v>
      </c>
      <c r="AH8" s="10">
        <v>6.06</v>
      </c>
      <c r="AI8" s="19">
        <v>16.143190000000001</v>
      </c>
      <c r="AJ8" s="10"/>
      <c r="AK8" s="307">
        <f t="shared" ref="AK8:AK9" si="15">AI8*Z8/10</f>
        <v>13.773369708000001</v>
      </c>
      <c r="AL8" s="307">
        <v>16.143190000000001</v>
      </c>
      <c r="AM8" s="307">
        <v>21.092507999999999</v>
      </c>
      <c r="AN8" s="96">
        <f t="shared" si="11"/>
        <v>0.23464815089793961</v>
      </c>
      <c r="AO8" s="307">
        <f t="shared" si="12"/>
        <v>13.773369708000001</v>
      </c>
      <c r="AP8" s="10">
        <v>80121699.209579185</v>
      </c>
      <c r="AQ8" s="10">
        <f t="shared" si="13"/>
        <v>8.012169920957918</v>
      </c>
      <c r="BA8" s="367"/>
    </row>
    <row r="9" spans="2:54" ht="17.25" x14ac:dyDescent="0.25">
      <c r="B9" s="23">
        <v>5</v>
      </c>
      <c r="C9" s="10" t="s">
        <v>8</v>
      </c>
      <c r="D9" s="23">
        <v>500</v>
      </c>
      <c r="E9" s="11">
        <f>D9*24*20*85%*(1-0.0525)*X9/10000</f>
        <v>71.004477699397171</v>
      </c>
      <c r="F9" s="11">
        <f>D9*24*30*85%*(1-0.0525)*X9/10000</f>
        <v>106.50671654909574</v>
      </c>
      <c r="G9" s="11">
        <f>D9*24*85%*(1-0.0525)*Y9*30/10000</f>
        <v>0.76732551908117552</v>
      </c>
      <c r="H9" s="11">
        <f t="shared" si="2"/>
        <v>19.523333333333333</v>
      </c>
      <c r="I9" s="11">
        <f>GFA!G7*1%</f>
        <v>25.489699999999999</v>
      </c>
      <c r="J9" s="11">
        <f t="shared" ca="1" si="3"/>
        <v>214.50298091048455</v>
      </c>
      <c r="K9" s="11">
        <f t="shared" si="4"/>
        <v>107.27404206817691</v>
      </c>
      <c r="L9" s="11">
        <f t="shared" ca="1" si="5"/>
        <v>330.52049194321506</v>
      </c>
      <c r="M9" s="35">
        <f t="shared" si="6"/>
        <v>0.1041</v>
      </c>
      <c r="N9" s="11">
        <f t="shared" ca="1" si="14"/>
        <v>34.409999999999997</v>
      </c>
      <c r="P9" s="11">
        <f>GFA!G7</f>
        <v>2548.9699999999998</v>
      </c>
      <c r="Q9" s="11">
        <f>'Dep''n 23-27'!D9</f>
        <v>17.5</v>
      </c>
      <c r="R9" s="11">
        <f>'ROE '!C9</f>
        <v>158.4</v>
      </c>
      <c r="S9" s="11">
        <f>'Int. on Loan 24-26'!C8</f>
        <v>0</v>
      </c>
      <c r="T9" s="11">
        <f t="shared" ca="1" si="0"/>
        <v>34.409999999999997</v>
      </c>
      <c r="U9" s="11">
        <f>'O&amp;M'!G10</f>
        <v>234.28</v>
      </c>
      <c r="V9" s="11">
        <f>'F8-NTI'!B8</f>
        <v>9.9</v>
      </c>
      <c r="W9" s="11">
        <f t="shared" ca="1" si="7"/>
        <v>434.69000000000005</v>
      </c>
      <c r="X9" s="306">
        <f>vc!D9</f>
        <v>3.6734687619327002</v>
      </c>
      <c r="Y9" s="306">
        <f>vc!E9</f>
        <v>2.6465432565270681E-2</v>
      </c>
      <c r="Z9" s="306">
        <f>vc!F9</f>
        <v>3.6999341944979709</v>
      </c>
      <c r="AA9" s="11">
        <f t="shared" si="8"/>
        <v>1295.8317180139982</v>
      </c>
      <c r="AB9" s="11">
        <f t="shared" si="9"/>
        <v>9.3357938154876354</v>
      </c>
      <c r="AC9" s="11">
        <f t="shared" si="10"/>
        <v>1305.1675118294859</v>
      </c>
      <c r="AD9" s="11">
        <f t="shared" ca="1" si="1"/>
        <v>1739.8575118294859</v>
      </c>
      <c r="AE9" s="36">
        <v>85</v>
      </c>
      <c r="AF9" s="10">
        <f>D9*24*(1-0.0525)*85%*365/1000</f>
        <v>3527.5425</v>
      </c>
      <c r="AG9" s="10">
        <f>D9*24*(1-0.0525)*82.94%*365/1000</f>
        <v>3442.0514700000003</v>
      </c>
      <c r="AH9" s="10">
        <v>82.94</v>
      </c>
      <c r="AI9" s="10">
        <v>2770.8157864080608</v>
      </c>
      <c r="AJ9" s="10"/>
      <c r="AK9" s="10">
        <f t="shared" si="15"/>
        <v>1025.183607478597</v>
      </c>
      <c r="AL9" s="307">
        <v>2770.8157864080608</v>
      </c>
      <c r="AM9" s="307">
        <v>2961.0387145824029</v>
      </c>
      <c r="AN9" s="96">
        <f t="shared" si="11"/>
        <v>6.4241959160324366E-2</v>
      </c>
      <c r="AO9" s="307">
        <f t="shared" si="12"/>
        <v>1025.183607478597</v>
      </c>
      <c r="AP9" s="10">
        <v>10639097150.571346</v>
      </c>
      <c r="AQ9" s="10">
        <f t="shared" si="13"/>
        <v>1063.9097150571347</v>
      </c>
    </row>
    <row r="10" spans="2:54" ht="17.25" x14ac:dyDescent="0.25">
      <c r="B10" s="23">
        <v>6</v>
      </c>
      <c r="C10" s="10" t="s">
        <v>9</v>
      </c>
      <c r="D10" s="23">
        <v>600</v>
      </c>
      <c r="E10" s="11">
        <f>D10*24*20*85%*(1-0.0525)*X10/10000</f>
        <v>86.602694959725241</v>
      </c>
      <c r="F10" s="11">
        <f>D10*24*30*85%*(1-0.0525)*X10/10000</f>
        <v>129.90404243958787</v>
      </c>
      <c r="G10" s="11">
        <f>D10*24*85%*(1-0.0525)*Y10*30/10000</f>
        <v>0.5768404306450301</v>
      </c>
      <c r="H10" s="11">
        <f t="shared" si="2"/>
        <v>23.428333333333331</v>
      </c>
      <c r="I10" s="11">
        <f>GFA!G8*1%</f>
        <v>37.694600000000001</v>
      </c>
      <c r="J10" s="11">
        <f t="shared" ca="1" si="3"/>
        <v>291.47146129165071</v>
      </c>
      <c r="K10" s="11">
        <f t="shared" si="4"/>
        <v>130.4808828702329</v>
      </c>
      <c r="L10" s="11">
        <f t="shared" ca="1" si="5"/>
        <v>439.19708958470926</v>
      </c>
      <c r="M10" s="38">
        <f t="shared" si="6"/>
        <v>0.1041</v>
      </c>
      <c r="N10" s="11">
        <f t="shared" ca="1" si="14"/>
        <v>45.72</v>
      </c>
      <c r="P10" s="37">
        <f>GFA!G8</f>
        <v>3769.46</v>
      </c>
      <c r="Q10" s="37">
        <f>'Dep''n 23-27'!D10</f>
        <v>113.12</v>
      </c>
      <c r="R10" s="37">
        <f>'ROE '!C10</f>
        <v>234.32</v>
      </c>
      <c r="S10" s="37">
        <f>'Int. on Loan 24-26'!C9</f>
        <v>114.23</v>
      </c>
      <c r="T10" s="37">
        <f t="shared" ca="1" si="0"/>
        <v>45.72</v>
      </c>
      <c r="U10" s="11">
        <f>'O&amp;M'!G11</f>
        <v>281.14</v>
      </c>
      <c r="V10" s="11">
        <f>'F8-NTI'!B9</f>
        <v>11.89</v>
      </c>
      <c r="W10" s="11">
        <f t="shared" ca="1" si="7"/>
        <v>776.64</v>
      </c>
      <c r="X10" s="306">
        <f>vc!D10</f>
        <v>3.7337116491508979</v>
      </c>
      <c r="Y10" s="306">
        <f>vc!E10</f>
        <v>1.6579590558947987E-2</v>
      </c>
      <c r="Z10" s="306">
        <f>vc!F10</f>
        <v>3.750291239709846</v>
      </c>
      <c r="AA10" s="11">
        <f t="shared" si="8"/>
        <v>1580.4991830149859</v>
      </c>
      <c r="AB10" s="11">
        <f t="shared" si="9"/>
        <v>7.0182252395145337</v>
      </c>
      <c r="AC10" s="11">
        <f t="shared" si="10"/>
        <v>1587.5174082545004</v>
      </c>
      <c r="AD10" s="37">
        <f t="shared" ca="1" si="1"/>
        <v>2364.1574082545003</v>
      </c>
      <c r="AE10" s="36">
        <v>85</v>
      </c>
      <c r="AF10" s="10">
        <f>D10*24*(1-0.0525)*85%*365/1000</f>
        <v>4233.0510000000004</v>
      </c>
      <c r="AG10" s="10">
        <f>D10*24*(1-0.0525)*76.37%*365/1000</f>
        <v>3803.2718220000002</v>
      </c>
      <c r="AH10" s="10">
        <v>76.37</v>
      </c>
      <c r="AI10" s="10">
        <v>3262.15894386122</v>
      </c>
      <c r="AJ10" s="10"/>
      <c r="AK10" s="10">
        <f t="shared" ref="AK10:AK11" si="16">AI10*Z10/10</f>
        <v>1223.4046109703856</v>
      </c>
      <c r="AL10" s="307">
        <v>3262.15894386122</v>
      </c>
      <c r="AM10" s="307">
        <v>3482.4559999999992</v>
      </c>
      <c r="AN10" s="96">
        <f t="shared" si="11"/>
        <v>6.3259106831149992E-2</v>
      </c>
      <c r="AO10" s="307">
        <f t="shared" si="12"/>
        <v>1223.4046109703856</v>
      </c>
      <c r="AP10" s="10">
        <v>11786914143.091675</v>
      </c>
      <c r="AQ10" s="10">
        <f t="shared" si="13"/>
        <v>1178.6914143091674</v>
      </c>
    </row>
    <row r="11" spans="2:54" ht="17.25" x14ac:dyDescent="0.25">
      <c r="B11" s="23">
        <v>7</v>
      </c>
      <c r="C11" s="10" t="s">
        <v>10</v>
      </c>
      <c r="D11" s="23">
        <v>1080</v>
      </c>
      <c r="E11" s="11">
        <f>D11*24*20*85%*(1-0.085)*X11/10000</f>
        <v>158.72495782239011</v>
      </c>
      <c r="F11" s="11">
        <f>D11*24*30*85%*(1-0.085)*X11/10000</f>
        <v>238.08743673358512</v>
      </c>
      <c r="G11" s="11">
        <f>D11*24*85%*(1-0.085)*Y11*30/10000</f>
        <v>1.284602051071287</v>
      </c>
      <c r="H11" s="11">
        <f t="shared" si="2"/>
        <v>37.615000000000002</v>
      </c>
      <c r="I11" s="11">
        <f>GFA!G9*1%</f>
        <v>74.452799999999996</v>
      </c>
      <c r="J11" s="11">
        <f t="shared" ca="1" si="3"/>
        <v>560.46203077972427</v>
      </c>
      <c r="K11" s="11">
        <f t="shared" si="4"/>
        <v>239.37203878465641</v>
      </c>
      <c r="L11" s="363">
        <f t="shared" ca="1" si="5"/>
        <v>831.25478860211444</v>
      </c>
      <c r="M11" s="35">
        <f t="shared" si="6"/>
        <v>0.1041</v>
      </c>
      <c r="N11" s="11">
        <f t="shared" ca="1" si="14"/>
        <v>86.53</v>
      </c>
      <c r="P11" s="11">
        <f>GFA!G9</f>
        <v>7445.28</v>
      </c>
      <c r="Q11" s="11">
        <f>'Dep''n 23-27'!D11</f>
        <v>247.18</v>
      </c>
      <c r="R11" s="11">
        <f>'ROE '!C11</f>
        <v>465.1</v>
      </c>
      <c r="S11" s="11">
        <f>'Int. on Loan 24-26'!C10</f>
        <v>398.58</v>
      </c>
      <c r="T11" s="11">
        <f t="shared" ca="1" si="0"/>
        <v>86.53</v>
      </c>
      <c r="U11" s="11">
        <f>'O&amp;M'!G12</f>
        <v>451.38</v>
      </c>
      <c r="V11" s="11">
        <f>'F8-NTI'!B10</f>
        <v>15.16</v>
      </c>
      <c r="W11" s="11">
        <f t="shared" ca="1" si="7"/>
        <v>1633.61</v>
      </c>
      <c r="X11" s="306">
        <f>vc!D11</f>
        <v>3.9367714973548185</v>
      </c>
      <c r="Y11" s="306">
        <f>vc!E11</f>
        <v>2.124087188086226E-2</v>
      </c>
      <c r="Z11" s="306">
        <f>vc!F11</f>
        <v>3.9580123692356808</v>
      </c>
      <c r="AA11" s="11">
        <f>X11*AF11/10</f>
        <v>2896.7304802586191</v>
      </c>
      <c r="AB11" s="11">
        <f t="shared" si="9"/>
        <v>15.629324954700655</v>
      </c>
      <c r="AC11" s="11">
        <f t="shared" si="10"/>
        <v>2912.3598052133193</v>
      </c>
      <c r="AD11" s="11">
        <f t="shared" ca="1" si="1"/>
        <v>4545.969805213319</v>
      </c>
      <c r="AE11" s="36">
        <v>85</v>
      </c>
      <c r="AF11" s="10">
        <f>D11*24*(1-0.085)*85%*365/1000</f>
        <v>7358.1371999999992</v>
      </c>
      <c r="AG11" s="10">
        <f>D11*24*(1-0.085)*62.86%*365/1000</f>
        <v>5441.5588751999994</v>
      </c>
      <c r="AH11" s="10">
        <v>62.86</v>
      </c>
      <c r="AI11" s="10">
        <v>4801.3760000000002</v>
      </c>
      <c r="AJ11" s="10"/>
      <c r="AK11" s="10">
        <f t="shared" si="16"/>
        <v>1900.3905597351338</v>
      </c>
      <c r="AL11" s="307">
        <v>4801.3670000000002</v>
      </c>
      <c r="AM11" s="307">
        <v>5332.7929999999997</v>
      </c>
      <c r="AN11" s="96">
        <f t="shared" si="11"/>
        <v>9.9652471040972246E-2</v>
      </c>
      <c r="AO11" s="307">
        <f t="shared" si="12"/>
        <v>1900.3869975240013</v>
      </c>
      <c r="AP11" s="10">
        <v>18278735938.127808</v>
      </c>
      <c r="AQ11" s="10">
        <f t="shared" si="13"/>
        <v>1827.8735938127807</v>
      </c>
    </row>
    <row r="12" spans="2:54" x14ac:dyDescent="0.25">
      <c r="B12" s="23">
        <v>8</v>
      </c>
      <c r="C12" s="10" t="s">
        <v>11</v>
      </c>
      <c r="D12" s="23">
        <v>875.6</v>
      </c>
      <c r="E12" s="37">
        <v>0</v>
      </c>
      <c r="F12" s="37"/>
      <c r="G12" s="37">
        <v>0</v>
      </c>
      <c r="H12" s="11">
        <f t="shared" si="2"/>
        <v>15.659166666666666</v>
      </c>
      <c r="I12" s="11">
        <f>GFA!G10*1%</f>
        <v>19.2346</v>
      </c>
      <c r="J12" s="11">
        <f t="shared" ref="J12:J19" ca="1" si="17">AD12*45/365</f>
        <v>47.688904109589032</v>
      </c>
      <c r="K12" s="37"/>
      <c r="L12" s="11">
        <f t="shared" ca="1" si="5"/>
        <v>82.582670776255696</v>
      </c>
      <c r="M12" s="38">
        <f t="shared" si="6"/>
        <v>0.1041</v>
      </c>
      <c r="N12" s="11">
        <f t="shared" ca="1" si="14"/>
        <v>8.6</v>
      </c>
      <c r="O12" s="49"/>
      <c r="P12" s="37">
        <f>GFA!G10</f>
        <v>1923.46</v>
      </c>
      <c r="Q12" s="37">
        <f>'Dep''n 23-27'!D12</f>
        <v>58.92</v>
      </c>
      <c r="R12" s="11">
        <f>'ROE '!C12</f>
        <v>127.3</v>
      </c>
      <c r="S12" s="11">
        <f>'Int. on Loan 24-26'!C11</f>
        <v>5.68</v>
      </c>
      <c r="T12" s="11">
        <f t="shared" ca="1" si="0"/>
        <v>8.6</v>
      </c>
      <c r="U12" s="11">
        <f>'O&amp;M'!G13</f>
        <v>187.91</v>
      </c>
      <c r="V12" s="11">
        <f>'F8-NTI'!B11</f>
        <v>1.6</v>
      </c>
      <c r="W12" s="11">
        <f t="shared" ca="1" si="7"/>
        <v>386.80999999999995</v>
      </c>
      <c r="X12" s="47"/>
      <c r="Y12" s="47"/>
      <c r="Z12" s="47"/>
      <c r="AA12" s="37">
        <f t="shared" ref="AA12:AA19" si="18">Y12+Z12</f>
        <v>0</v>
      </c>
      <c r="AB12" s="37">
        <f t="shared" ref="AB12:AB19" si="19">Z12+AA12</f>
        <v>0</v>
      </c>
      <c r="AC12" s="37">
        <v>0</v>
      </c>
      <c r="AD12" s="37">
        <f t="shared" ca="1" si="1"/>
        <v>386.80999999999995</v>
      </c>
      <c r="AE12" s="10"/>
      <c r="AF12" s="10">
        <f>SUM(AF5:AF11)</f>
        <v>28085.939700000003</v>
      </c>
      <c r="AG12" s="10"/>
      <c r="AH12" s="10"/>
      <c r="AI12" s="10"/>
      <c r="AJ12" s="10"/>
      <c r="AK12" s="10"/>
      <c r="AL12" s="307">
        <f>SUM(AL5:AL11)</f>
        <v>21611.653921686477</v>
      </c>
      <c r="AM12" s="307">
        <f>SUM(AM5:AM11)</f>
        <v>23276.712822582398</v>
      </c>
      <c r="AN12" s="96">
        <f>(AM12-AL12)/AM12</f>
        <v>7.1533249285978609E-2</v>
      </c>
      <c r="AO12" s="307">
        <f>SUM(AO5:AO11)</f>
        <v>8144.4422641669262</v>
      </c>
      <c r="AP12" s="307">
        <f>SUM(AP5:AP11)</f>
        <v>82981573474.014954</v>
      </c>
      <c r="AQ12" s="10">
        <f t="shared" si="13"/>
        <v>8298.1573474014949</v>
      </c>
    </row>
    <row r="13" spans="2:54" x14ac:dyDescent="0.25">
      <c r="B13" s="23">
        <v>9</v>
      </c>
      <c r="C13" s="10" t="s">
        <v>12</v>
      </c>
      <c r="D13" s="23">
        <v>900</v>
      </c>
      <c r="E13" s="11">
        <v>0</v>
      </c>
      <c r="F13" s="11"/>
      <c r="G13" s="11">
        <v>0</v>
      </c>
      <c r="H13" s="11">
        <f t="shared" si="2"/>
        <v>15.760833333333336</v>
      </c>
      <c r="I13" s="11">
        <f>GFA!G11*1%</f>
        <v>33.842100000000002</v>
      </c>
      <c r="J13" s="11">
        <f t="shared" ca="1" si="17"/>
        <v>63.867945205479451</v>
      </c>
      <c r="K13" s="11"/>
      <c r="L13" s="11">
        <f t="shared" ca="1" si="5"/>
        <v>113.4708785388128</v>
      </c>
      <c r="M13" s="35">
        <f t="shared" si="6"/>
        <v>0.1041</v>
      </c>
      <c r="N13" s="11">
        <f t="shared" ca="1" si="14"/>
        <v>11.81</v>
      </c>
      <c r="P13" s="11">
        <f>GFA!G11</f>
        <v>3384.21</v>
      </c>
      <c r="Q13" s="11">
        <f>'Dep''n 23-27'!D13</f>
        <v>58.72</v>
      </c>
      <c r="R13" s="11">
        <f>'ROE '!C13</f>
        <v>224.31</v>
      </c>
      <c r="S13" s="11">
        <f>'Int. on Loan 24-26'!C12</f>
        <v>41.45</v>
      </c>
      <c r="T13" s="11">
        <f t="shared" ca="1" si="0"/>
        <v>11.81</v>
      </c>
      <c r="U13" s="11">
        <f>'O&amp;M'!G14</f>
        <v>189.13000000000002</v>
      </c>
      <c r="V13" s="11">
        <f>'F8-NTI'!B12</f>
        <v>7.38</v>
      </c>
      <c r="W13" s="11">
        <f t="shared" ca="1" si="7"/>
        <v>518.04</v>
      </c>
      <c r="X13" s="11">
        <v>0</v>
      </c>
      <c r="Y13" s="11">
        <v>0</v>
      </c>
      <c r="Z13" s="11">
        <f t="shared" ref="Z13:Z20" si="20">X13+Y13</f>
        <v>0</v>
      </c>
      <c r="AA13" s="11">
        <f t="shared" si="18"/>
        <v>0</v>
      </c>
      <c r="AB13" s="11">
        <f t="shared" si="19"/>
        <v>0</v>
      </c>
      <c r="AC13" s="11">
        <v>0</v>
      </c>
      <c r="AD13" s="11">
        <f t="shared" ca="1" si="1"/>
        <v>518.04</v>
      </c>
      <c r="AE13" s="10"/>
      <c r="AU13" s="364"/>
      <c r="AV13" s="364"/>
      <c r="AW13" s="364"/>
      <c r="AX13" s="364"/>
      <c r="AY13" s="364"/>
      <c r="AZ13" s="364"/>
      <c r="BA13" s="364"/>
      <c r="BB13" s="364"/>
    </row>
    <row r="14" spans="2:54" x14ac:dyDescent="0.25">
      <c r="B14" s="23">
        <v>10</v>
      </c>
      <c r="C14" s="10" t="s">
        <v>13</v>
      </c>
      <c r="D14" s="23">
        <v>54</v>
      </c>
      <c r="E14" s="11">
        <v>0</v>
      </c>
      <c r="F14" s="11"/>
      <c r="G14" s="11">
        <v>0</v>
      </c>
      <c r="H14" s="11">
        <f t="shared" si="2"/>
        <v>4.6916666666666664</v>
      </c>
      <c r="I14" s="11">
        <f>GFA!G12*1%</f>
        <v>1.2194</v>
      </c>
      <c r="J14" s="11">
        <f t="shared" ca="1" si="17"/>
        <v>8.2282191780821918</v>
      </c>
      <c r="K14" s="11"/>
      <c r="L14" s="11">
        <f t="shared" ca="1" si="5"/>
        <v>14.139285844748859</v>
      </c>
      <c r="M14" s="35">
        <f t="shared" si="6"/>
        <v>0.1041</v>
      </c>
      <c r="N14" s="11">
        <f t="shared" ca="1" si="14"/>
        <v>1.47</v>
      </c>
      <c r="P14" s="11">
        <f>GFA!G12</f>
        <v>121.94</v>
      </c>
      <c r="Q14" s="11">
        <f>'Dep''n 23-27'!D14</f>
        <v>1.04</v>
      </c>
      <c r="R14" s="11">
        <f>'ROE '!C14</f>
        <v>8.07</v>
      </c>
      <c r="S14" s="11">
        <f>'Int. on Loan 24-26'!C13</f>
        <v>0</v>
      </c>
      <c r="T14" s="11">
        <f t="shared" ca="1" si="0"/>
        <v>1.47</v>
      </c>
      <c r="U14" s="11">
        <f>'O&amp;M'!G15</f>
        <v>56.3</v>
      </c>
      <c r="V14" s="11">
        <f>'F8-NTI'!B13</f>
        <v>0.14000000000000001</v>
      </c>
      <c r="W14" s="11">
        <f t="shared" ca="1" si="7"/>
        <v>66.739999999999995</v>
      </c>
      <c r="X14" s="11">
        <v>0</v>
      </c>
      <c r="Y14" s="11">
        <v>0</v>
      </c>
      <c r="Z14" s="11">
        <f t="shared" si="20"/>
        <v>0</v>
      </c>
      <c r="AA14" s="11">
        <f t="shared" si="18"/>
        <v>0</v>
      </c>
      <c r="AB14" s="11">
        <f t="shared" si="19"/>
        <v>0</v>
      </c>
      <c r="AC14" s="11">
        <v>0</v>
      </c>
      <c r="AD14" s="11">
        <f t="shared" ca="1" si="1"/>
        <v>66.739999999999995</v>
      </c>
      <c r="AE14" s="10"/>
      <c r="AU14" s="364"/>
      <c r="AV14" s="364"/>
      <c r="AW14" s="364"/>
      <c r="AX14" s="364"/>
      <c r="AY14" s="364"/>
      <c r="AZ14" s="364"/>
      <c r="BA14" s="364"/>
      <c r="BB14" s="364"/>
    </row>
    <row r="15" spans="2:54" x14ac:dyDescent="0.25">
      <c r="B15" s="23">
        <v>11</v>
      </c>
      <c r="C15" s="10" t="s">
        <v>14</v>
      </c>
      <c r="D15" s="23">
        <v>9.16</v>
      </c>
      <c r="E15" s="11">
        <v>0</v>
      </c>
      <c r="F15" s="11"/>
      <c r="G15" s="11">
        <v>0</v>
      </c>
      <c r="H15" s="11">
        <f t="shared" si="2"/>
        <v>0.74083333333333323</v>
      </c>
      <c r="I15" s="11">
        <f>GFA!G13*1%</f>
        <v>0.31269999999999998</v>
      </c>
      <c r="J15" s="11">
        <f t="shared" ca="1" si="17"/>
        <v>1.4141095890410957</v>
      </c>
      <c r="K15" s="11"/>
      <c r="L15" s="11">
        <f t="shared" ca="1" si="5"/>
        <v>2.4676429223744289</v>
      </c>
      <c r="M15" s="35">
        <f t="shared" si="6"/>
        <v>0.1041</v>
      </c>
      <c r="N15" s="11">
        <f t="shared" ca="1" si="14"/>
        <v>0.26</v>
      </c>
      <c r="P15" s="11">
        <f>GFA!G13</f>
        <v>31.27</v>
      </c>
      <c r="Q15" s="11">
        <f>'Dep''n 23-27'!D15</f>
        <v>0.34</v>
      </c>
      <c r="R15" s="11">
        <f>'ROE '!C15</f>
        <v>1.94</v>
      </c>
      <c r="S15" s="11">
        <f>'Int. on Loan 24-26'!C14</f>
        <v>0.06</v>
      </c>
      <c r="T15" s="11">
        <f t="shared" ca="1" si="0"/>
        <v>0.26</v>
      </c>
      <c r="U15" s="11">
        <f>'O&amp;M'!G16</f>
        <v>8.8899999999999988</v>
      </c>
      <c r="V15" s="11">
        <f>'F8-NTI'!B14</f>
        <v>0.02</v>
      </c>
      <c r="W15" s="11">
        <f t="shared" ca="1" si="7"/>
        <v>11.469999999999999</v>
      </c>
      <c r="X15" s="11">
        <v>0</v>
      </c>
      <c r="Y15" s="11">
        <v>0</v>
      </c>
      <c r="Z15" s="11">
        <f t="shared" si="20"/>
        <v>0</v>
      </c>
      <c r="AA15" s="11">
        <f t="shared" si="18"/>
        <v>0</v>
      </c>
      <c r="AB15" s="11">
        <f t="shared" si="19"/>
        <v>0</v>
      </c>
      <c r="AC15" s="11">
        <v>0</v>
      </c>
      <c r="AD15" s="11">
        <f t="shared" ca="1" si="1"/>
        <v>11.469999999999999</v>
      </c>
      <c r="AE15" s="10"/>
      <c r="AU15" s="364"/>
      <c r="AV15" s="365"/>
      <c r="AW15" s="365"/>
      <c r="AX15" s="365"/>
      <c r="AY15" s="365"/>
      <c r="AZ15" s="365"/>
      <c r="BA15" s="365"/>
      <c r="BB15" s="365"/>
    </row>
    <row r="16" spans="2:54" x14ac:dyDescent="0.25">
      <c r="B16" s="23">
        <v>12</v>
      </c>
      <c r="C16" s="10" t="s">
        <v>15</v>
      </c>
      <c r="D16" s="23">
        <v>9</v>
      </c>
      <c r="E16" s="11">
        <v>0</v>
      </c>
      <c r="F16" s="11"/>
      <c r="G16" s="11">
        <v>0</v>
      </c>
      <c r="H16" s="11">
        <f t="shared" si="2"/>
        <v>0.72750000000000004</v>
      </c>
      <c r="I16" s="11">
        <f>GFA!G14*1%</f>
        <v>0.2974</v>
      </c>
      <c r="J16" s="11">
        <f t="shared" ca="1" si="17"/>
        <v>1.5312328767123291</v>
      </c>
      <c r="K16" s="11"/>
      <c r="L16" s="11">
        <f t="shared" ca="1" si="5"/>
        <v>2.5561328767123292</v>
      </c>
      <c r="M16" s="35">
        <f t="shared" si="6"/>
        <v>0.1041</v>
      </c>
      <c r="N16" s="11">
        <f t="shared" ca="1" si="14"/>
        <v>0.27</v>
      </c>
      <c r="P16" s="11">
        <f>GFA!G14</f>
        <v>29.74</v>
      </c>
      <c r="Q16" s="11">
        <f>'Dep''n 23-27'!D16</f>
        <v>0.57999999999999996</v>
      </c>
      <c r="R16" s="11">
        <f>'ROE '!C16</f>
        <v>1.97</v>
      </c>
      <c r="S16" s="11">
        <f>'Int. on Loan 24-26'!C15</f>
        <v>0.89</v>
      </c>
      <c r="T16" s="11">
        <f t="shared" ca="1" si="0"/>
        <v>0.27</v>
      </c>
      <c r="U16" s="11">
        <f>'O&amp;M'!G17</f>
        <v>8.73</v>
      </c>
      <c r="V16" s="11">
        <f>'F8-NTI'!B15</f>
        <v>0.02</v>
      </c>
      <c r="W16" s="11">
        <f t="shared" ca="1" si="7"/>
        <v>12.420000000000002</v>
      </c>
      <c r="X16" s="11">
        <v>0</v>
      </c>
      <c r="Y16" s="11">
        <v>0</v>
      </c>
      <c r="Z16" s="11">
        <f t="shared" si="20"/>
        <v>0</v>
      </c>
      <c r="AA16" s="11">
        <f t="shared" si="18"/>
        <v>0</v>
      </c>
      <c r="AB16" s="11">
        <f t="shared" si="19"/>
        <v>0</v>
      </c>
      <c r="AC16" s="11">
        <v>0</v>
      </c>
      <c r="AD16" s="11">
        <f t="shared" ca="1" si="1"/>
        <v>12.420000000000002</v>
      </c>
      <c r="AE16" s="24"/>
    </row>
    <row r="17" spans="2:38" x14ac:dyDescent="0.25">
      <c r="B17" s="23">
        <v>13</v>
      </c>
      <c r="C17" s="10" t="s">
        <v>16</v>
      </c>
      <c r="D17" s="23">
        <v>234</v>
      </c>
      <c r="E17" s="11">
        <v>0</v>
      </c>
      <c r="F17" s="11"/>
      <c r="G17" s="11">
        <v>0</v>
      </c>
      <c r="H17" s="11">
        <f t="shared" si="2"/>
        <v>4.4675000000000002</v>
      </c>
      <c r="I17" s="11">
        <f>GFA!G15*1%</f>
        <v>6.9249999999999998</v>
      </c>
      <c r="J17" s="11">
        <f t="shared" ca="1" si="17"/>
        <v>15.516986301369862</v>
      </c>
      <c r="K17" s="11"/>
      <c r="L17" s="11">
        <f t="shared" ca="1" si="5"/>
        <v>26.90948630136986</v>
      </c>
      <c r="M17" s="35">
        <f t="shared" si="6"/>
        <v>0.1041</v>
      </c>
      <c r="N17" s="11">
        <f t="shared" ca="1" si="14"/>
        <v>2.8</v>
      </c>
      <c r="P17" s="11">
        <f>GFA!G15</f>
        <v>692.5</v>
      </c>
      <c r="Q17" s="11">
        <f>'Dep''n 23-27'!D17</f>
        <v>11.14</v>
      </c>
      <c r="R17" s="11">
        <f>'ROE '!C17</f>
        <v>43.03</v>
      </c>
      <c r="S17" s="11">
        <f>'Int. on Loan 24-26'!C16</f>
        <v>15.59</v>
      </c>
      <c r="T17" s="11">
        <f t="shared" ca="1" si="0"/>
        <v>2.8</v>
      </c>
      <c r="U17" s="11">
        <f>'O&amp;M'!G18</f>
        <v>53.61</v>
      </c>
      <c r="V17" s="11">
        <f>'F8-NTI'!B16</f>
        <v>0.31</v>
      </c>
      <c r="W17" s="11">
        <f t="shared" ca="1" si="7"/>
        <v>125.86</v>
      </c>
      <c r="X17" s="11">
        <v>0</v>
      </c>
      <c r="Y17" s="11">
        <v>0</v>
      </c>
      <c r="Z17" s="11">
        <f t="shared" si="20"/>
        <v>0</v>
      </c>
      <c r="AA17" s="11">
        <f t="shared" si="18"/>
        <v>0</v>
      </c>
      <c r="AB17" s="11">
        <f t="shared" si="19"/>
        <v>0</v>
      </c>
      <c r="AC17" s="11">
        <v>0</v>
      </c>
      <c r="AD17" s="11">
        <f t="shared" ca="1" si="1"/>
        <v>125.86</v>
      </c>
      <c r="AE17" s="10"/>
    </row>
    <row r="18" spans="2:38" x14ac:dyDescent="0.25">
      <c r="B18" s="23">
        <v>14</v>
      </c>
      <c r="C18" s="10" t="s">
        <v>17</v>
      </c>
      <c r="D18" s="23">
        <v>240</v>
      </c>
      <c r="E18" s="11">
        <v>0</v>
      </c>
      <c r="F18" s="11"/>
      <c r="G18" s="11">
        <v>0</v>
      </c>
      <c r="H18" s="11">
        <f t="shared" si="2"/>
        <v>4.5083333333333337</v>
      </c>
      <c r="I18" s="11">
        <f>GFA!G16*1%</f>
        <v>16.3581</v>
      </c>
      <c r="J18" s="11">
        <f t="shared" ca="1" si="17"/>
        <v>29.589041095890412</v>
      </c>
      <c r="K18" s="11"/>
      <c r="L18" s="11">
        <f t="shared" ca="1" si="5"/>
        <v>50.455474429223742</v>
      </c>
      <c r="M18" s="35">
        <f t="shared" si="6"/>
        <v>0.1041</v>
      </c>
      <c r="N18" s="11">
        <f t="shared" ca="1" si="14"/>
        <v>5.25</v>
      </c>
      <c r="P18" s="11">
        <f>GFA!G16</f>
        <v>1635.81</v>
      </c>
      <c r="Q18" s="11">
        <f>'Dep''n 23-27'!D18</f>
        <v>27.02</v>
      </c>
      <c r="R18" s="11">
        <f>'ROE '!C18</f>
        <v>101.87</v>
      </c>
      <c r="S18" s="11">
        <f>'Int. on Loan 24-26'!C17</f>
        <v>52.07</v>
      </c>
      <c r="T18" s="11">
        <f t="shared" ca="1" si="0"/>
        <v>5.25</v>
      </c>
      <c r="U18" s="11">
        <f>'O&amp;M'!G19</f>
        <v>54.1</v>
      </c>
      <c r="V18" s="11">
        <f>'F8-NTI'!B17</f>
        <v>0.31</v>
      </c>
      <c r="W18" s="11">
        <f t="shared" ca="1" si="7"/>
        <v>240</v>
      </c>
      <c r="X18" s="11">
        <v>0</v>
      </c>
      <c r="Y18" s="11">
        <v>0</v>
      </c>
      <c r="Z18" s="11">
        <f t="shared" si="20"/>
        <v>0</v>
      </c>
      <c r="AA18" s="11">
        <f t="shared" si="18"/>
        <v>0</v>
      </c>
      <c r="AB18" s="11">
        <f t="shared" si="19"/>
        <v>0</v>
      </c>
      <c r="AC18" s="11">
        <v>0</v>
      </c>
      <c r="AD18" s="11">
        <f t="shared" ca="1" si="1"/>
        <v>240</v>
      </c>
      <c r="AE18" s="10"/>
    </row>
    <row r="19" spans="2:38" x14ac:dyDescent="0.25">
      <c r="B19" s="23">
        <v>15</v>
      </c>
      <c r="C19" s="10" t="s">
        <v>18</v>
      </c>
      <c r="D19" s="23">
        <v>120</v>
      </c>
      <c r="E19" s="11">
        <v>0</v>
      </c>
      <c r="F19" s="11"/>
      <c r="G19" s="11">
        <v>0</v>
      </c>
      <c r="H19" s="11">
        <f t="shared" si="2"/>
        <v>3.6316666666666673</v>
      </c>
      <c r="I19" s="11">
        <f>GFA!G17*1%</f>
        <v>4.4076000000000004</v>
      </c>
      <c r="J19" s="11">
        <f t="shared" ca="1" si="17"/>
        <v>13.178219178082193</v>
      </c>
      <c r="K19" s="11"/>
      <c r="L19" s="11">
        <f t="shared" ca="1" si="5"/>
        <v>21.217485844748861</v>
      </c>
      <c r="M19" s="35">
        <f t="shared" si="6"/>
        <v>0.1041</v>
      </c>
      <c r="N19" s="11">
        <f t="shared" ca="1" si="14"/>
        <v>2.21</v>
      </c>
      <c r="P19" s="11">
        <f>GFA!G17</f>
        <v>440.76000000000005</v>
      </c>
      <c r="Q19" s="11">
        <f>'Dep''n 23-27'!D19</f>
        <v>9.14</v>
      </c>
      <c r="R19" s="11">
        <f>'ROE '!C19</f>
        <v>29.16</v>
      </c>
      <c r="S19" s="11">
        <f>'Int. on Loan 24-26'!C18</f>
        <v>23.04</v>
      </c>
      <c r="T19" s="11">
        <f t="shared" ca="1" si="0"/>
        <v>2.21</v>
      </c>
      <c r="U19" s="11">
        <f>'O&amp;M'!G20</f>
        <v>43.580000000000005</v>
      </c>
      <c r="V19" s="11">
        <f>'F8-NTI'!B18</f>
        <v>0.24</v>
      </c>
      <c r="W19" s="11">
        <f t="shared" ca="1" si="7"/>
        <v>106.89</v>
      </c>
      <c r="X19" s="11">
        <v>0</v>
      </c>
      <c r="Y19" s="11">
        <v>0</v>
      </c>
      <c r="Z19" s="11">
        <f t="shared" si="20"/>
        <v>0</v>
      </c>
      <c r="AA19" s="11">
        <f t="shared" si="18"/>
        <v>0</v>
      </c>
      <c r="AB19" s="11">
        <f t="shared" si="19"/>
        <v>0</v>
      </c>
      <c r="AC19" s="11">
        <v>0</v>
      </c>
      <c r="AD19" s="11">
        <f t="shared" ca="1" si="1"/>
        <v>106.89</v>
      </c>
      <c r="AE19" s="10"/>
    </row>
    <row r="20" spans="2:38" x14ac:dyDescent="0.25">
      <c r="B20" s="21"/>
      <c r="C20" s="21" t="s">
        <v>19</v>
      </c>
      <c r="D20" s="21">
        <f t="shared" ref="D20:L20" si="21">SUM(D5:D19)</f>
        <v>6484.26</v>
      </c>
      <c r="E20" s="28">
        <f t="shared" si="21"/>
        <v>586.25066543632033</v>
      </c>
      <c r="F20" s="28">
        <f t="shared" si="21"/>
        <v>879.3759981544805</v>
      </c>
      <c r="G20" s="28">
        <f t="shared" si="21"/>
        <v>11.085824090102879</v>
      </c>
      <c r="H20" s="28">
        <f t="shared" si="21"/>
        <v>225.07249999999999</v>
      </c>
      <c r="I20" s="28">
        <f t="shared" si="21"/>
        <v>320.02879999999999</v>
      </c>
      <c r="J20" s="28">
        <f t="shared" ca="1" si="21"/>
        <v>2152.7287607641351</v>
      </c>
      <c r="K20" s="28">
        <f t="shared" si="21"/>
        <v>890.46182224458335</v>
      </c>
      <c r="L20" s="28">
        <f t="shared" ca="1" si="21"/>
        <v>3284.0807262004555</v>
      </c>
      <c r="M20" s="35" t="s">
        <v>66</v>
      </c>
      <c r="N20" s="28">
        <f ca="1">SUM(N5:N19)</f>
        <v>341.87</v>
      </c>
      <c r="O20" s="20"/>
      <c r="P20" s="28">
        <f>SUM(P5:P19)</f>
        <v>32002.879999999997</v>
      </c>
      <c r="Q20" s="28">
        <f>SUM(Q5:Q19)</f>
        <v>774.45999999999992</v>
      </c>
      <c r="R20" s="28" t="e">
        <f>'ROE '!#REF!</f>
        <v>#REF!</v>
      </c>
      <c r="S20" s="28">
        <f>'Int. on Loan 24-26'!C39</f>
        <v>0</v>
      </c>
      <c r="T20" s="28">
        <f t="shared" ca="1" si="0"/>
        <v>341.87</v>
      </c>
      <c r="U20" s="28">
        <f>SUM(U5:U19)</f>
        <v>2700.87</v>
      </c>
      <c r="V20" s="28">
        <f>SUM(V5:V19)</f>
        <v>78.389999999999986</v>
      </c>
      <c r="W20" s="28">
        <f ca="1">SUM(W5:W19)</f>
        <v>6627.07</v>
      </c>
      <c r="X20" s="11">
        <v>0</v>
      </c>
      <c r="Y20" s="11">
        <v>0</v>
      </c>
      <c r="Z20" s="11">
        <f t="shared" si="20"/>
        <v>0</v>
      </c>
      <c r="AA20" s="39">
        <f>SUM(AA5:AA19)</f>
        <v>10699.074644212846</v>
      </c>
      <c r="AB20" s="39">
        <f>SUM(AB5:AB19)</f>
        <v>134.877526429585</v>
      </c>
      <c r="AC20" s="39">
        <f>SUM(AC5:AC19)</f>
        <v>10833.945511243477</v>
      </c>
      <c r="AD20" s="39">
        <f ca="1">SUM(AD5:AD19)</f>
        <v>17461.01551124348</v>
      </c>
      <c r="AE20" s="27"/>
    </row>
    <row r="22" spans="2:38" x14ac:dyDescent="0.25">
      <c r="B22" s="483" t="s">
        <v>104</v>
      </c>
      <c r="C22" s="483"/>
      <c r="D22" s="483"/>
      <c r="E22" s="483"/>
      <c r="F22" s="483"/>
      <c r="G22" s="483"/>
      <c r="H22" s="483"/>
      <c r="I22" s="483"/>
      <c r="J22" s="483"/>
      <c r="K22" s="483"/>
      <c r="L22" s="19" t="s">
        <v>83</v>
      </c>
      <c r="M22" s="26">
        <v>8.75</v>
      </c>
      <c r="N22" s="19" t="s">
        <v>284</v>
      </c>
    </row>
    <row r="23" spans="2:38" x14ac:dyDescent="0.25">
      <c r="G23" s="22" t="s">
        <v>137</v>
      </c>
      <c r="L23" s="19" t="s">
        <v>53</v>
      </c>
      <c r="M23" s="26">
        <f>M22+1.5</f>
        <v>10.25</v>
      </c>
      <c r="Q23" s="20" t="s">
        <v>362</v>
      </c>
    </row>
    <row r="24" spans="2:38" ht="63" x14ac:dyDescent="0.25">
      <c r="B24" s="8" t="s">
        <v>1</v>
      </c>
      <c r="C24" s="30" t="s">
        <v>2</v>
      </c>
      <c r="D24" s="9" t="s">
        <v>55</v>
      </c>
      <c r="E24" s="31" t="s">
        <v>173</v>
      </c>
      <c r="F24" s="31" t="s">
        <v>82</v>
      </c>
      <c r="G24" s="31" t="s">
        <v>174</v>
      </c>
      <c r="H24" s="31" t="s">
        <v>56</v>
      </c>
      <c r="I24" s="31" t="s">
        <v>168</v>
      </c>
      <c r="J24" s="31" t="s">
        <v>172</v>
      </c>
      <c r="K24" s="31" t="s">
        <v>69</v>
      </c>
      <c r="L24" s="31" t="s">
        <v>57</v>
      </c>
      <c r="M24" s="31" t="s">
        <v>58</v>
      </c>
      <c r="N24" s="31" t="s">
        <v>59</v>
      </c>
      <c r="P24" s="9" t="s">
        <v>170</v>
      </c>
      <c r="Q24" s="9" t="s">
        <v>60</v>
      </c>
      <c r="R24" s="8" t="s">
        <v>51</v>
      </c>
      <c r="S24" s="30" t="s">
        <v>61</v>
      </c>
      <c r="T24" s="8" t="s">
        <v>62</v>
      </c>
      <c r="U24" s="8" t="s">
        <v>48</v>
      </c>
      <c r="V24" s="8" t="s">
        <v>98</v>
      </c>
      <c r="W24" s="32" t="s">
        <v>63</v>
      </c>
      <c r="X24" s="33" t="s">
        <v>67</v>
      </c>
      <c r="Y24" s="33" t="s">
        <v>68</v>
      </c>
      <c r="Z24" s="33" t="s">
        <v>78</v>
      </c>
      <c r="AA24" s="32" t="s">
        <v>70</v>
      </c>
      <c r="AB24" s="32" t="s">
        <v>71</v>
      </c>
      <c r="AC24" s="32" t="s">
        <v>99</v>
      </c>
      <c r="AD24" s="32" t="s">
        <v>64</v>
      </c>
      <c r="AE24" s="9" t="s">
        <v>65</v>
      </c>
      <c r="AF24" s="34" t="s">
        <v>79</v>
      </c>
      <c r="AG24" s="103" t="s">
        <v>436</v>
      </c>
      <c r="AH24" s="103" t="s">
        <v>437</v>
      </c>
    </row>
    <row r="25" spans="2:38" x14ac:dyDescent="0.25">
      <c r="B25" s="23">
        <v>1</v>
      </c>
      <c r="C25" s="10" t="s">
        <v>4</v>
      </c>
      <c r="D25" s="23">
        <v>500</v>
      </c>
      <c r="E25" s="11">
        <f>AF25*X25*20/365/10</f>
        <v>74.806820399999992</v>
      </c>
      <c r="F25" s="11">
        <f>AF25*X25*30/365/10</f>
        <v>112.2102306</v>
      </c>
      <c r="G25" s="11">
        <f>Y25*AF25*30/365/10</f>
        <v>0.94364280000000011</v>
      </c>
      <c r="H25" s="11">
        <f>U25/12</f>
        <v>24.998333333333335</v>
      </c>
      <c r="I25" s="11">
        <f>GFA!I3*1%</f>
        <v>22.815900000000003</v>
      </c>
      <c r="J25" s="11">
        <f ca="1">F25*45/30+G25*45/30+W25*45/365</f>
        <v>231.29450873013701</v>
      </c>
      <c r="K25" s="11">
        <f>F25+G25</f>
        <v>113.15387340000001</v>
      </c>
      <c r="L25" s="11">
        <f t="shared" ref="L25:L38" ca="1" si="22">SUM(E25:J25)-K25</f>
        <v>353.91556246347028</v>
      </c>
      <c r="M25" s="35">
        <f>$M$23%</f>
        <v>0.10249999999999999</v>
      </c>
      <c r="N25" s="11">
        <f ca="1">ROUND(L25*M25,2)</f>
        <v>36.28</v>
      </c>
      <c r="P25" s="11">
        <f>GFA!I3</f>
        <v>2281.59</v>
      </c>
      <c r="Q25" s="11">
        <f>'Dep''n 23-27'!F5</f>
        <v>30.5</v>
      </c>
      <c r="R25" s="11">
        <f>'ROE Sheet'!Y26</f>
        <v>141.66</v>
      </c>
      <c r="S25" s="11">
        <f>'Int. on Loan 24-26'!D4</f>
        <v>0</v>
      </c>
      <c r="T25" s="11">
        <f t="shared" ref="T25:T38" ca="1" si="23">N25</f>
        <v>36.28</v>
      </c>
      <c r="U25" s="11">
        <f>'O&amp;M'!K6</f>
        <v>299.98</v>
      </c>
      <c r="V25" s="11">
        <f>'F8-NTI'!C4</f>
        <v>9.07</v>
      </c>
      <c r="W25" s="11">
        <f ca="1">SUM(Q25:U25)-V25</f>
        <v>499.35</v>
      </c>
      <c r="X25" s="176">
        <f>ROUND(vc!G6,3)</f>
        <v>4.0430000000000001</v>
      </c>
      <c r="Y25" s="176">
        <f>ROUND(vc!H6,3)</f>
        <v>3.4000000000000002E-2</v>
      </c>
      <c r="Z25" s="176">
        <f>ROUND(vc!I6,3)</f>
        <v>4.077</v>
      </c>
      <c r="AA25" s="11">
        <f>X25*AF25/10</f>
        <v>1365.2244722999999</v>
      </c>
      <c r="AB25" s="11">
        <f>Y25*AF25/10</f>
        <v>11.4809874</v>
      </c>
      <c r="AC25" s="11">
        <f>Z25*AF25/10</f>
        <v>1376.7054597000001</v>
      </c>
      <c r="AD25" s="11">
        <f t="shared" ref="AD25:AD38" ca="1" si="24">W25+AC25</f>
        <v>1876.0554597</v>
      </c>
      <c r="AE25" s="36">
        <v>85</v>
      </c>
      <c r="AF25" s="175">
        <f>D25*24*(1-0.093)*85%*365/1000</f>
        <v>3376.761</v>
      </c>
      <c r="AG25" s="47">
        <v>2755.8168500000002</v>
      </c>
      <c r="AH25" s="47">
        <f>AG25*Z25/10</f>
        <v>1123.546529745</v>
      </c>
      <c r="AJ25" s="122"/>
      <c r="AK25" s="122"/>
      <c r="AL25" s="122"/>
    </row>
    <row r="26" spans="2:38" x14ac:dyDescent="0.25">
      <c r="B26" s="23">
        <v>2</v>
      </c>
      <c r="C26" s="10" t="s">
        <v>5</v>
      </c>
      <c r="D26" s="23">
        <v>500</v>
      </c>
      <c r="E26" s="11">
        <f t="shared" ref="E26:E30" si="25">AF26*X26*20/365/10</f>
        <v>78.282450000000011</v>
      </c>
      <c r="F26" s="11">
        <f t="shared" ref="F26:F30" si="26">AF26*X26*30/365/10</f>
        <v>117.42367499999997</v>
      </c>
      <c r="G26" s="11">
        <f t="shared" ref="G26:G30" si="27">Y26*AF26*30/365/10</f>
        <v>0.95678549999999996</v>
      </c>
      <c r="H26" s="11">
        <f t="shared" ref="H26:H38" si="28">U26/12</f>
        <v>24.998333333333335</v>
      </c>
      <c r="I26" s="11">
        <f>GFA!I4*1%</f>
        <v>24.760300000000001</v>
      </c>
      <c r="J26" s="11">
        <f t="shared" ref="J26:J30" ca="1" si="29">F26*45/30+G26*45/30+W26*45/365</f>
        <v>239.84082773630138</v>
      </c>
      <c r="K26" s="11">
        <f t="shared" ref="K26:K30" si="30">F26+G26</f>
        <v>118.38046049999997</v>
      </c>
      <c r="L26" s="11">
        <f t="shared" ca="1" si="22"/>
        <v>367.88191106963473</v>
      </c>
      <c r="M26" s="35">
        <f t="shared" ref="M26:M38" si="31">$M$23%</f>
        <v>0.10249999999999999</v>
      </c>
      <c r="N26" s="11">
        <f t="shared" ref="N26:N38" ca="1" si="32">ROUND(L26*M26,2)</f>
        <v>37.71</v>
      </c>
      <c r="P26" s="11">
        <f>GFA!I4</f>
        <v>2476.0300000000002</v>
      </c>
      <c r="Q26" s="11">
        <f>'Dep''n 23-27'!F6</f>
        <v>22.63</v>
      </c>
      <c r="R26" s="11">
        <f>'ROE Sheet'!Y27</f>
        <v>153.83000000000001</v>
      </c>
      <c r="S26" s="11">
        <f>'Int. on Loan 24-26'!D5</f>
        <v>0</v>
      </c>
      <c r="T26" s="11">
        <f t="shared" ca="1" si="23"/>
        <v>37.71</v>
      </c>
      <c r="U26" s="11">
        <f>'O&amp;M'!K7</f>
        <v>299.98</v>
      </c>
      <c r="V26" s="11">
        <f>'F8-NTI'!C5</f>
        <v>9.07</v>
      </c>
      <c r="W26" s="11">
        <f t="shared" ref="W26:W38" ca="1" si="33">SUM(Q26:U26)-V26</f>
        <v>505.0800000000001</v>
      </c>
      <c r="X26" s="176">
        <f>ROUND(vc!G7,3)</f>
        <v>4.05</v>
      </c>
      <c r="Y26" s="176">
        <f>ROUND(vc!H7,3)</f>
        <v>3.3000000000000002E-2</v>
      </c>
      <c r="Z26" s="176">
        <f>ROUND(vc!I7,3)</f>
        <v>4.0819999999999999</v>
      </c>
      <c r="AA26" s="11">
        <f t="shared" ref="AA26:AA30" si="34">X26*AF26/10</f>
        <v>1428.6547125</v>
      </c>
      <c r="AB26" s="11">
        <f t="shared" ref="AB26:AB30" si="35">Y26*AF26/10</f>
        <v>11.640890250000002</v>
      </c>
      <c r="AC26" s="11">
        <f t="shared" ref="AC26:AC30" si="36">Z26*AF26/10</f>
        <v>1439.9428485000001</v>
      </c>
      <c r="AD26" s="11">
        <f t="shared" ca="1" si="24"/>
        <v>1945.0228485000002</v>
      </c>
      <c r="AE26" s="36">
        <v>85</v>
      </c>
      <c r="AF26" s="175">
        <f>D26*24*(1-0.0525)*85%*365/1000</f>
        <v>3527.5425</v>
      </c>
      <c r="AG26" s="47"/>
      <c r="AH26" s="47">
        <f t="shared" ref="AH26:AH31" si="37">AG26*Z26/10</f>
        <v>0</v>
      </c>
      <c r="AJ26" s="122"/>
      <c r="AK26" s="122"/>
      <c r="AL26" s="122"/>
    </row>
    <row r="27" spans="2:38" x14ac:dyDescent="0.25">
      <c r="B27" s="23">
        <v>3</v>
      </c>
      <c r="C27" s="10" t="s">
        <v>6</v>
      </c>
      <c r="D27" s="23">
        <v>800</v>
      </c>
      <c r="E27" s="11">
        <f t="shared" si="25"/>
        <v>107.1290496</v>
      </c>
      <c r="F27" s="11">
        <f t="shared" si="26"/>
        <v>160.69357440000002</v>
      </c>
      <c r="G27" s="11">
        <f t="shared" si="27"/>
        <v>1.5772464000000002</v>
      </c>
      <c r="H27" s="11">
        <f t="shared" si="28"/>
        <v>47.072499999999998</v>
      </c>
      <c r="I27" s="11">
        <f>GFA!I5*1%</f>
        <v>51.125699999999995</v>
      </c>
      <c r="J27" s="11">
        <f t="shared" ca="1" si="29"/>
        <v>405.07951887123289</v>
      </c>
      <c r="K27" s="11">
        <f t="shared" si="30"/>
        <v>162.27082080000002</v>
      </c>
      <c r="L27" s="11">
        <f t="shared" ca="1" si="22"/>
        <v>610.40676847123279</v>
      </c>
      <c r="M27" s="35">
        <f t="shared" si="31"/>
        <v>0.10249999999999999</v>
      </c>
      <c r="N27" s="11">
        <f t="shared" ca="1" si="32"/>
        <v>62.57</v>
      </c>
      <c r="P27" s="11">
        <f>GFA!I5</f>
        <v>5112.57</v>
      </c>
      <c r="Q27" s="11">
        <f>'Dep''n 23-27'!F7</f>
        <v>174.82</v>
      </c>
      <c r="R27" s="11">
        <f>'ROE Sheet'!Y28</f>
        <v>317.66000000000003</v>
      </c>
      <c r="S27" s="11">
        <f>'Int. on Loan 24-26'!D6</f>
        <v>205.13</v>
      </c>
      <c r="T27" s="11">
        <f t="shared" ca="1" si="23"/>
        <v>62.57</v>
      </c>
      <c r="U27" s="11">
        <f>'O&amp;M'!K8</f>
        <v>564.87</v>
      </c>
      <c r="V27" s="11">
        <f>'F8-NTI'!C6</f>
        <v>13.7</v>
      </c>
      <c r="W27" s="11">
        <f t="shared" ca="1" si="33"/>
        <v>1311.3500000000001</v>
      </c>
      <c r="X27" s="176">
        <f>ROUND(vc!G8,3)</f>
        <v>3.464</v>
      </c>
      <c r="Y27" s="176">
        <f>ROUND(vc!H8,3)</f>
        <v>3.4000000000000002E-2</v>
      </c>
      <c r="Z27" s="176">
        <f>ROUND(vc!I8,3)</f>
        <v>3.4980000000000002</v>
      </c>
      <c r="AA27" s="11">
        <f t="shared" si="34"/>
        <v>1955.1051552000001</v>
      </c>
      <c r="AB27" s="11">
        <f t="shared" si="35"/>
        <v>19.189831200000004</v>
      </c>
      <c r="AC27" s="11">
        <f t="shared" si="36"/>
        <v>1974.2949864000002</v>
      </c>
      <c r="AD27" s="11">
        <f t="shared" ca="1" si="24"/>
        <v>3285.6449864000006</v>
      </c>
      <c r="AE27" s="36">
        <v>85</v>
      </c>
      <c r="AF27" s="175">
        <f>D27*24*(1-0.0525)*85%*365/1000</f>
        <v>5644.0680000000002</v>
      </c>
      <c r="AG27" s="47"/>
      <c r="AH27" s="47">
        <f t="shared" si="37"/>
        <v>0</v>
      </c>
      <c r="AJ27" s="122"/>
      <c r="AK27" s="122"/>
      <c r="AL27" s="122"/>
    </row>
    <row r="28" spans="2:38" x14ac:dyDescent="0.25">
      <c r="B28" s="23">
        <v>4</v>
      </c>
      <c r="C28" s="10" t="s">
        <v>8</v>
      </c>
      <c r="D28" s="23">
        <v>500</v>
      </c>
      <c r="E28" s="11">
        <f t="shared" si="25"/>
        <v>60.770375999999999</v>
      </c>
      <c r="F28" s="11">
        <f t="shared" si="26"/>
        <v>91.155563999999998</v>
      </c>
      <c r="G28" s="11">
        <f t="shared" si="27"/>
        <v>1.0147725000000001</v>
      </c>
      <c r="H28" s="11">
        <f t="shared" si="28"/>
        <v>20.555833333333332</v>
      </c>
      <c r="I28" s="11">
        <f>GFA!I7*1%</f>
        <v>25.4923</v>
      </c>
      <c r="J28" s="11">
        <f t="shared" ca="1" si="29"/>
        <v>192.94591570890407</v>
      </c>
      <c r="K28" s="11">
        <f t="shared" si="30"/>
        <v>92.170336500000005</v>
      </c>
      <c r="L28" s="11">
        <f t="shared" ca="1" si="22"/>
        <v>299.76442504223741</v>
      </c>
      <c r="M28" s="35">
        <f t="shared" si="31"/>
        <v>0.10249999999999999</v>
      </c>
      <c r="N28" s="11">
        <f t="shared" ca="1" si="32"/>
        <v>30.73</v>
      </c>
      <c r="P28" s="11">
        <f>GFA!I7</f>
        <v>2549.23</v>
      </c>
      <c r="Q28" s="11">
        <f>'Dep''n 23-27'!F9</f>
        <v>17.89</v>
      </c>
      <c r="R28" s="11">
        <f>'ROE Sheet'!Y29</f>
        <v>158.62</v>
      </c>
      <c r="S28" s="11">
        <f>'Int. on Loan 24-26'!D8</f>
        <v>0</v>
      </c>
      <c r="T28" s="11">
        <f t="shared" ca="1" si="23"/>
        <v>30.73</v>
      </c>
      <c r="U28" s="11">
        <f>'O&amp;M'!K10</f>
        <v>246.67</v>
      </c>
      <c r="V28" s="11">
        <f>'F8-NTI'!C8</f>
        <v>10.31</v>
      </c>
      <c r="W28" s="11">
        <f t="shared" ca="1" si="33"/>
        <v>443.59999999999997</v>
      </c>
      <c r="X28" s="176">
        <f>ROUND(vc!G9,3)</f>
        <v>3.1440000000000001</v>
      </c>
      <c r="Y28" s="176">
        <f>ROUND(vc!H9,3)</f>
        <v>3.5000000000000003E-2</v>
      </c>
      <c r="Z28" s="176">
        <f>ROUND(vc!I9,3)</f>
        <v>3.18</v>
      </c>
      <c r="AA28" s="11">
        <f t="shared" si="34"/>
        <v>1109.059362</v>
      </c>
      <c r="AB28" s="11">
        <f t="shared" si="35"/>
        <v>12.346398750000002</v>
      </c>
      <c r="AC28" s="11">
        <f t="shared" si="36"/>
        <v>1121.758515</v>
      </c>
      <c r="AD28" s="11">
        <f t="shared" ca="1" si="24"/>
        <v>1565.3585149999999</v>
      </c>
      <c r="AE28" s="36">
        <v>85</v>
      </c>
      <c r="AF28" s="175">
        <f>D28*24*(1-0.0525)*85%*365/1000</f>
        <v>3527.5425</v>
      </c>
      <c r="AG28" s="47"/>
      <c r="AH28" s="47">
        <f t="shared" si="37"/>
        <v>0</v>
      </c>
      <c r="AJ28" s="122"/>
      <c r="AK28" s="122"/>
      <c r="AL28" s="122"/>
    </row>
    <row r="29" spans="2:38" x14ac:dyDescent="0.25">
      <c r="B29" s="23">
        <v>5</v>
      </c>
      <c r="C29" s="10" t="s">
        <v>9</v>
      </c>
      <c r="D29" s="23">
        <v>600</v>
      </c>
      <c r="E29" s="11">
        <f t="shared" si="25"/>
        <v>68.355075600000006</v>
      </c>
      <c r="F29" s="11">
        <f t="shared" si="26"/>
        <v>102.53261340000002</v>
      </c>
      <c r="G29" s="11">
        <f t="shared" si="27"/>
        <v>1.2525192000000001</v>
      </c>
      <c r="H29" s="11">
        <f t="shared" si="28"/>
        <v>24.666666666666668</v>
      </c>
      <c r="I29" s="37">
        <f>GFA!I8*1%</f>
        <v>37.730698058740003</v>
      </c>
      <c r="J29" s="11">
        <f t="shared" ca="1" si="29"/>
        <v>251.09249342054795</v>
      </c>
      <c r="K29" s="11">
        <f t="shared" si="30"/>
        <v>103.78513260000001</v>
      </c>
      <c r="L29" s="11">
        <f ca="1">SUM(E29:J29)-K29</f>
        <v>381.84493374595462</v>
      </c>
      <c r="M29" s="35">
        <f t="shared" si="31"/>
        <v>0.10249999999999999</v>
      </c>
      <c r="N29" s="11">
        <f t="shared" ca="1" si="32"/>
        <v>39.14</v>
      </c>
      <c r="P29" s="11">
        <f>GFA!I8</f>
        <v>3773.0698058739999</v>
      </c>
      <c r="Q29" s="11">
        <f>'Dep''n 23-27'!F10</f>
        <v>113.37</v>
      </c>
      <c r="R29" s="11">
        <f>'ROE Sheet'!Y30</f>
        <v>234.55</v>
      </c>
      <c r="S29" s="11">
        <f>'Int. on Loan 24-26'!D9</f>
        <v>103.24</v>
      </c>
      <c r="T29" s="37">
        <f t="shared" ca="1" si="23"/>
        <v>39.14</v>
      </c>
      <c r="U29" s="11">
        <f>'O&amp;M'!K11</f>
        <v>296</v>
      </c>
      <c r="V29" s="11">
        <f>'F8-NTI'!C9</f>
        <v>12.38</v>
      </c>
      <c r="W29" s="11">
        <f t="shared" ca="1" si="33"/>
        <v>773.92</v>
      </c>
      <c r="X29" s="176">
        <f>ROUND(vc!G10,3)</f>
        <v>2.9470000000000001</v>
      </c>
      <c r="Y29" s="176">
        <f>ROUND(vc!H10,3)</f>
        <v>3.5999999999999997E-2</v>
      </c>
      <c r="Z29" s="176">
        <f>ROUND(vc!I10,3)</f>
        <v>2.9830000000000001</v>
      </c>
      <c r="AA29" s="11">
        <f t="shared" si="34"/>
        <v>1247.4801297000001</v>
      </c>
      <c r="AB29" s="11">
        <f t="shared" si="35"/>
        <v>15.238983600000001</v>
      </c>
      <c r="AC29" s="11">
        <f t="shared" si="36"/>
        <v>1262.7191133000001</v>
      </c>
      <c r="AD29" s="37">
        <f t="shared" ca="1" si="24"/>
        <v>2036.6391133000002</v>
      </c>
      <c r="AE29" s="36">
        <v>85</v>
      </c>
      <c r="AF29" s="175">
        <f>D29*24*(1-0.0525)*85%*365/1000</f>
        <v>4233.0510000000004</v>
      </c>
      <c r="AG29" s="47"/>
      <c r="AH29" s="47">
        <f t="shared" si="37"/>
        <v>0</v>
      </c>
      <c r="AJ29" s="122"/>
      <c r="AK29" s="122"/>
      <c r="AL29" s="122"/>
    </row>
    <row r="30" spans="2:38" x14ac:dyDescent="0.25">
      <c r="B30" s="23">
        <v>6</v>
      </c>
      <c r="C30" s="10" t="s">
        <v>10</v>
      </c>
      <c r="D30" s="23">
        <v>1080</v>
      </c>
      <c r="E30" s="11">
        <f t="shared" si="25"/>
        <v>151.11396287999997</v>
      </c>
      <c r="F30" s="11">
        <f t="shared" si="26"/>
        <v>226.67094431999999</v>
      </c>
      <c r="G30" s="11">
        <f t="shared" si="27"/>
        <v>2.0562465599999999</v>
      </c>
      <c r="H30" s="11">
        <f t="shared" si="28"/>
        <v>39.644166666666671</v>
      </c>
      <c r="I30" s="11">
        <f>GFA!I9*1%</f>
        <v>75.403400000000005</v>
      </c>
      <c r="J30" s="11">
        <f t="shared" ca="1" si="29"/>
        <v>546.09996440219174</v>
      </c>
      <c r="K30" s="11">
        <f t="shared" si="30"/>
        <v>228.72719087999999</v>
      </c>
      <c r="L30" s="11">
        <f t="shared" ca="1" si="22"/>
        <v>812.2614939488584</v>
      </c>
      <c r="M30" s="35">
        <f t="shared" si="31"/>
        <v>0.10249999999999999</v>
      </c>
      <c r="N30" s="11">
        <f t="shared" ca="1" si="32"/>
        <v>83.26</v>
      </c>
      <c r="P30" s="11">
        <f>GFA!I9</f>
        <v>7540.34</v>
      </c>
      <c r="Q30" s="11">
        <f>'Dep''n 23-27'!F11</f>
        <v>247.98</v>
      </c>
      <c r="R30" s="11">
        <f>'ROE Sheet'!Y31</f>
        <v>468.58</v>
      </c>
      <c r="S30" s="11">
        <f>'Int. on Loan 24-26'!D10</f>
        <v>386.87</v>
      </c>
      <c r="T30" s="11">
        <f t="shared" ca="1" si="23"/>
        <v>83.26</v>
      </c>
      <c r="U30" s="11">
        <f>'O&amp;M'!K12</f>
        <v>475.73</v>
      </c>
      <c r="V30" s="11">
        <f>'F8-NTI'!C10</f>
        <v>15.79</v>
      </c>
      <c r="W30" s="11">
        <f t="shared" ca="1" si="33"/>
        <v>1646.6299999999999</v>
      </c>
      <c r="X30" s="176">
        <f>ROUND(vc!G11,3)</f>
        <v>3.7480000000000002</v>
      </c>
      <c r="Y30" s="176">
        <f>ROUND(vc!H11,3)</f>
        <v>3.4000000000000002E-2</v>
      </c>
      <c r="Z30" s="176">
        <f>ROUND(vc!I11,3)</f>
        <v>3.782</v>
      </c>
      <c r="AA30" s="11">
        <f t="shared" si="34"/>
        <v>2757.8298225600001</v>
      </c>
      <c r="AB30" s="11">
        <f t="shared" si="35"/>
        <v>25.017666479999999</v>
      </c>
      <c r="AC30" s="11">
        <f t="shared" si="36"/>
        <v>2782.8474890399998</v>
      </c>
      <c r="AD30" s="11">
        <f t="shared" ca="1" si="24"/>
        <v>4429.4774890399995</v>
      </c>
      <c r="AE30" s="36">
        <v>85</v>
      </c>
      <c r="AF30" s="175">
        <f>D30*24*(1-0.085)*85%*365/1000</f>
        <v>7358.1371999999992</v>
      </c>
      <c r="AG30" s="47"/>
      <c r="AH30" s="47">
        <f t="shared" si="37"/>
        <v>0</v>
      </c>
      <c r="AJ30" s="122"/>
      <c r="AK30" s="122"/>
      <c r="AL30" s="122"/>
    </row>
    <row r="31" spans="2:38" x14ac:dyDescent="0.25">
      <c r="B31" s="23">
        <v>7</v>
      </c>
      <c r="C31" s="10" t="s">
        <v>11</v>
      </c>
      <c r="D31" s="23">
        <v>875.6</v>
      </c>
      <c r="E31" s="37">
        <v>0</v>
      </c>
      <c r="F31" s="37"/>
      <c r="G31" s="37">
        <v>0</v>
      </c>
      <c r="H31" s="11">
        <f t="shared" si="28"/>
        <v>16.613333333333333</v>
      </c>
      <c r="I31" s="37">
        <f>GFA!I10*1%</f>
        <v>19.258299999999998</v>
      </c>
      <c r="J31" s="11">
        <f t="shared" ref="J31:J38" ca="1" si="38">AD31*45/365</f>
        <v>48.602465753424653</v>
      </c>
      <c r="K31" s="37"/>
      <c r="L31" s="11">
        <f t="shared" ca="1" si="22"/>
        <v>84.474099086757988</v>
      </c>
      <c r="M31" s="35">
        <f t="shared" si="31"/>
        <v>0.10249999999999999</v>
      </c>
      <c r="N31" s="11">
        <f t="shared" ca="1" si="32"/>
        <v>8.66</v>
      </c>
      <c r="O31" s="49"/>
      <c r="P31" s="11">
        <f>GFA!I10</f>
        <v>1925.83</v>
      </c>
      <c r="Q31" s="11">
        <f>'Dep''n 23-27'!F12</f>
        <v>59.08</v>
      </c>
      <c r="R31" s="11">
        <f>'ROE Sheet'!Y32</f>
        <v>127.36</v>
      </c>
      <c r="S31" s="11">
        <f>'Int. on Loan 24-26'!D11</f>
        <v>1.45</v>
      </c>
      <c r="T31" s="11">
        <f t="shared" ca="1" si="23"/>
        <v>8.66</v>
      </c>
      <c r="U31" s="11">
        <f>'O&amp;M'!K13</f>
        <v>199.36</v>
      </c>
      <c r="V31" s="11">
        <f>'F8-NTI'!C11</f>
        <v>1.69</v>
      </c>
      <c r="W31" s="11">
        <f t="shared" ca="1" si="33"/>
        <v>394.21999999999997</v>
      </c>
      <c r="X31" s="47"/>
      <c r="Y31" s="37">
        <v>0</v>
      </c>
      <c r="Z31" s="37">
        <f t="shared" ref="Z31:Z39" si="39">X31+Y31</f>
        <v>0</v>
      </c>
      <c r="AA31" s="37">
        <f t="shared" ref="AA31:AA38" si="40">Y31+Z31</f>
        <v>0</v>
      </c>
      <c r="AB31" s="37">
        <f t="shared" ref="AB31:AB38" si="41">Z31+AA31</f>
        <v>0</v>
      </c>
      <c r="AC31" s="37">
        <v>0</v>
      </c>
      <c r="AD31" s="37">
        <f t="shared" ca="1" si="24"/>
        <v>394.21999999999997</v>
      </c>
      <c r="AE31" s="10"/>
      <c r="AF31" s="10">
        <f>SUM(AF25:AF30)</f>
        <v>27667.102200000001</v>
      </c>
      <c r="AG31" s="10"/>
      <c r="AH31" s="47">
        <f t="shared" si="37"/>
        <v>0</v>
      </c>
      <c r="AJ31" s="122"/>
      <c r="AK31" s="122"/>
      <c r="AL31" s="122"/>
    </row>
    <row r="32" spans="2:38" x14ac:dyDescent="0.25">
      <c r="B32" s="23">
        <v>8</v>
      </c>
      <c r="C32" s="10" t="s">
        <v>12</v>
      </c>
      <c r="D32" s="23">
        <v>900</v>
      </c>
      <c r="E32" s="11">
        <v>0</v>
      </c>
      <c r="F32" s="11"/>
      <c r="G32" s="11">
        <v>0</v>
      </c>
      <c r="H32" s="11">
        <f t="shared" si="28"/>
        <v>16.791666666666668</v>
      </c>
      <c r="I32" s="11">
        <f>GFA!I11*1%</f>
        <v>34.004300000000001</v>
      </c>
      <c r="J32" s="11">
        <f t="shared" ca="1" si="38"/>
        <v>64.801232876712319</v>
      </c>
      <c r="K32" s="11"/>
      <c r="L32" s="11">
        <f t="shared" ca="1" si="22"/>
        <v>115.59719954337899</v>
      </c>
      <c r="M32" s="35">
        <f t="shared" si="31"/>
        <v>0.10249999999999999</v>
      </c>
      <c r="N32" s="11">
        <f t="shared" ca="1" si="32"/>
        <v>11.85</v>
      </c>
      <c r="P32" s="11">
        <f>GFA!I11</f>
        <v>3400.43</v>
      </c>
      <c r="Q32" s="11">
        <f>'Dep''n 23-27'!F13</f>
        <v>59.13</v>
      </c>
      <c r="R32" s="11">
        <f>'ROE Sheet'!Y33</f>
        <v>224.75</v>
      </c>
      <c r="S32" s="11">
        <f>'Int. on Loan 24-26'!D12</f>
        <v>36.08</v>
      </c>
      <c r="T32" s="11">
        <f t="shared" ca="1" si="23"/>
        <v>11.85</v>
      </c>
      <c r="U32" s="11">
        <f>'O&amp;M'!K14</f>
        <v>201.5</v>
      </c>
      <c r="V32" s="11">
        <f>'F8-NTI'!C12</f>
        <v>7.7</v>
      </c>
      <c r="W32" s="11">
        <f t="shared" ca="1" si="33"/>
        <v>525.6099999999999</v>
      </c>
      <c r="X32" s="11">
        <v>0</v>
      </c>
      <c r="Y32" s="11">
        <v>0</v>
      </c>
      <c r="Z32" s="11">
        <f t="shared" si="39"/>
        <v>0</v>
      </c>
      <c r="AA32" s="11">
        <f t="shared" si="40"/>
        <v>0</v>
      </c>
      <c r="AB32" s="11">
        <f t="shared" si="41"/>
        <v>0</v>
      </c>
      <c r="AC32" s="11">
        <v>0</v>
      </c>
      <c r="AD32" s="11">
        <f t="shared" ca="1" si="24"/>
        <v>525.6099999999999</v>
      </c>
      <c r="AE32" s="10"/>
    </row>
    <row r="33" spans="2:38" x14ac:dyDescent="0.25">
      <c r="B33" s="23">
        <v>9</v>
      </c>
      <c r="C33" s="10" t="s">
        <v>13</v>
      </c>
      <c r="D33" s="23">
        <v>54</v>
      </c>
      <c r="E33" s="11">
        <v>0</v>
      </c>
      <c r="F33" s="11"/>
      <c r="G33" s="11">
        <v>0</v>
      </c>
      <c r="H33" s="11">
        <f t="shared" si="28"/>
        <v>5.1316666666666668</v>
      </c>
      <c r="I33" s="11">
        <f>GFA!I12*1%</f>
        <v>1.2198</v>
      </c>
      <c r="J33" s="11">
        <f t="shared" ca="1" si="38"/>
        <v>8.8409589041095877</v>
      </c>
      <c r="K33" s="11"/>
      <c r="L33" s="11">
        <f t="shared" ca="1" si="22"/>
        <v>15.192425570776255</v>
      </c>
      <c r="M33" s="35">
        <f t="shared" si="31"/>
        <v>0.10249999999999999</v>
      </c>
      <c r="N33" s="11">
        <f t="shared" ca="1" si="32"/>
        <v>1.56</v>
      </c>
      <c r="P33" s="11">
        <f>GFA!I12</f>
        <v>121.98</v>
      </c>
      <c r="Q33" s="11">
        <f>'Dep''n 23-27'!F14</f>
        <v>1.04</v>
      </c>
      <c r="R33" s="11">
        <f>'ROE Sheet'!Y34</f>
        <v>8.07</v>
      </c>
      <c r="S33" s="11">
        <f>'Int. on Loan 24-26'!D13</f>
        <v>0</v>
      </c>
      <c r="T33" s="11">
        <f t="shared" ca="1" si="23"/>
        <v>1.56</v>
      </c>
      <c r="U33" s="11">
        <f>'O&amp;M'!K15</f>
        <v>61.58</v>
      </c>
      <c r="V33" s="11">
        <f>'F8-NTI'!C13</f>
        <v>0.54</v>
      </c>
      <c r="W33" s="11">
        <f t="shared" ca="1" si="33"/>
        <v>71.709999999999994</v>
      </c>
      <c r="X33" s="11">
        <v>0</v>
      </c>
      <c r="Y33" s="11">
        <v>0</v>
      </c>
      <c r="Z33" s="11">
        <f t="shared" si="39"/>
        <v>0</v>
      </c>
      <c r="AA33" s="11">
        <f t="shared" si="40"/>
        <v>0</v>
      </c>
      <c r="AB33" s="11">
        <f t="shared" si="41"/>
        <v>0</v>
      </c>
      <c r="AC33" s="11">
        <v>0</v>
      </c>
      <c r="AD33" s="11">
        <f t="shared" ca="1" si="24"/>
        <v>71.709999999999994</v>
      </c>
      <c r="AE33" s="10"/>
    </row>
    <row r="34" spans="2:38" x14ac:dyDescent="0.25">
      <c r="B34" s="23">
        <v>10</v>
      </c>
      <c r="C34" s="10" t="s">
        <v>14</v>
      </c>
      <c r="D34" s="23">
        <v>9.16</v>
      </c>
      <c r="E34" s="11">
        <v>0</v>
      </c>
      <c r="F34" s="11"/>
      <c r="G34" s="11">
        <v>0</v>
      </c>
      <c r="H34" s="11">
        <f t="shared" si="28"/>
        <v>0.77416666666666656</v>
      </c>
      <c r="I34" s="11">
        <f>GFA!I13*1%</f>
        <v>0.31269999999999998</v>
      </c>
      <c r="J34" s="11">
        <f t="shared" ca="1" si="38"/>
        <v>1.4486301369863011</v>
      </c>
      <c r="K34" s="11"/>
      <c r="L34" s="11">
        <f t="shared" ca="1" si="22"/>
        <v>2.5354968036529675</v>
      </c>
      <c r="M34" s="35">
        <f t="shared" si="31"/>
        <v>0.10249999999999999</v>
      </c>
      <c r="N34" s="11">
        <f t="shared" ca="1" si="32"/>
        <v>0.26</v>
      </c>
      <c r="P34" s="11">
        <f>GFA!I13</f>
        <v>31.27</v>
      </c>
      <c r="Q34" s="11">
        <f>'Dep''n 23-27'!F15</f>
        <v>0.34</v>
      </c>
      <c r="R34" s="11">
        <f>'ROE Sheet'!Y35</f>
        <v>1.94</v>
      </c>
      <c r="S34" s="11">
        <f>'Int. on Loan 24-26'!D14</f>
        <v>0.02</v>
      </c>
      <c r="T34" s="11">
        <f t="shared" ca="1" si="23"/>
        <v>0.26</v>
      </c>
      <c r="U34" s="11">
        <f>'O&amp;M'!K16</f>
        <v>9.2899999999999991</v>
      </c>
      <c r="V34" s="11">
        <f>'F8-NTI'!C14</f>
        <v>0.1</v>
      </c>
      <c r="W34" s="11">
        <f t="shared" ca="1" si="33"/>
        <v>11.749999999999998</v>
      </c>
      <c r="X34" s="11">
        <v>0</v>
      </c>
      <c r="Y34" s="11">
        <v>0</v>
      </c>
      <c r="Z34" s="11">
        <f t="shared" si="39"/>
        <v>0</v>
      </c>
      <c r="AA34" s="11">
        <f t="shared" si="40"/>
        <v>0</v>
      </c>
      <c r="AB34" s="11">
        <f t="shared" si="41"/>
        <v>0</v>
      </c>
      <c r="AC34" s="11">
        <v>0</v>
      </c>
      <c r="AD34" s="11">
        <f t="shared" ca="1" si="24"/>
        <v>11.749999999999998</v>
      </c>
      <c r="AE34" s="10"/>
    </row>
    <row r="35" spans="2:38" x14ac:dyDescent="0.25">
      <c r="B35" s="23">
        <v>11</v>
      </c>
      <c r="C35" s="10" t="s">
        <v>15</v>
      </c>
      <c r="D35" s="23">
        <v>9</v>
      </c>
      <c r="E35" s="11">
        <v>0</v>
      </c>
      <c r="F35" s="11"/>
      <c r="G35" s="11">
        <v>0</v>
      </c>
      <c r="H35" s="11">
        <f t="shared" si="28"/>
        <v>0.7599999999999999</v>
      </c>
      <c r="I35" s="11">
        <f>GFA!I14*1%</f>
        <v>0.2974</v>
      </c>
      <c r="J35" s="11">
        <f t="shared" ca="1" si="38"/>
        <v>1.5632876712328767</v>
      </c>
      <c r="K35" s="11"/>
      <c r="L35" s="11">
        <f t="shared" ca="1" si="22"/>
        <v>2.6206876712328766</v>
      </c>
      <c r="M35" s="35">
        <f t="shared" si="31"/>
        <v>0.10249999999999999</v>
      </c>
      <c r="N35" s="11">
        <f t="shared" ca="1" si="32"/>
        <v>0.27</v>
      </c>
      <c r="P35" s="11">
        <f>GFA!I14</f>
        <v>29.74</v>
      </c>
      <c r="Q35" s="11">
        <f>'Dep''n 23-27'!F16</f>
        <v>0.57999999999999996</v>
      </c>
      <c r="R35" s="11">
        <f>'ROE Sheet'!Y36</f>
        <v>1.97</v>
      </c>
      <c r="S35" s="11">
        <f>'Int. on Loan 24-26'!D15</f>
        <v>0.83</v>
      </c>
      <c r="T35" s="11">
        <f t="shared" ca="1" si="23"/>
        <v>0.27</v>
      </c>
      <c r="U35" s="11">
        <f>'O&amp;M'!K17</f>
        <v>9.1199999999999992</v>
      </c>
      <c r="V35" s="11">
        <f>'F8-NTI'!C15</f>
        <v>0.09</v>
      </c>
      <c r="W35" s="11">
        <f t="shared" ca="1" si="33"/>
        <v>12.68</v>
      </c>
      <c r="X35" s="11">
        <v>0</v>
      </c>
      <c r="Y35" s="11">
        <v>0</v>
      </c>
      <c r="Z35" s="11">
        <f t="shared" si="39"/>
        <v>0</v>
      </c>
      <c r="AA35" s="11">
        <f t="shared" si="40"/>
        <v>0</v>
      </c>
      <c r="AB35" s="11">
        <f t="shared" si="41"/>
        <v>0</v>
      </c>
      <c r="AC35" s="11">
        <v>0</v>
      </c>
      <c r="AD35" s="11">
        <f t="shared" ca="1" si="24"/>
        <v>12.68</v>
      </c>
      <c r="AE35" s="24"/>
    </row>
    <row r="36" spans="2:38" x14ac:dyDescent="0.25">
      <c r="B36" s="23">
        <v>12</v>
      </c>
      <c r="C36" s="10" t="s">
        <v>16</v>
      </c>
      <c r="D36" s="23">
        <v>234</v>
      </c>
      <c r="E36" s="11">
        <v>0</v>
      </c>
      <c r="F36" s="11"/>
      <c r="G36" s="11">
        <v>0</v>
      </c>
      <c r="H36" s="11">
        <f t="shared" si="28"/>
        <v>5.2383333333333333</v>
      </c>
      <c r="I36" s="11">
        <f>GFA!I15*1%</f>
        <v>6.9253</v>
      </c>
      <c r="J36" s="11">
        <f t="shared" ca="1" si="38"/>
        <v>16.41205479452055</v>
      </c>
      <c r="K36" s="11"/>
      <c r="L36" s="11">
        <f t="shared" ca="1" si="22"/>
        <v>28.575688127853883</v>
      </c>
      <c r="M36" s="35">
        <f t="shared" si="31"/>
        <v>0.10249999999999999</v>
      </c>
      <c r="N36" s="11">
        <f t="shared" ca="1" si="32"/>
        <v>2.93</v>
      </c>
      <c r="P36" s="11">
        <f>GFA!I15</f>
        <v>692.53</v>
      </c>
      <c r="Q36" s="11">
        <f>'Dep''n 23-27'!F17</f>
        <v>11.14</v>
      </c>
      <c r="R36" s="11">
        <f>'ROE Sheet'!Y37</f>
        <v>43.03</v>
      </c>
      <c r="S36" s="11">
        <f>'Int. on Loan 24-26'!D16</f>
        <v>14.48</v>
      </c>
      <c r="T36" s="11">
        <f t="shared" ca="1" si="23"/>
        <v>2.93</v>
      </c>
      <c r="U36" s="11">
        <f>'O&amp;M'!K18</f>
        <v>62.86</v>
      </c>
      <c r="V36" s="11">
        <f>'F8-NTI'!C16</f>
        <v>1.32</v>
      </c>
      <c r="W36" s="11">
        <f t="shared" ca="1" si="33"/>
        <v>133.12</v>
      </c>
      <c r="X36" s="11">
        <v>0</v>
      </c>
      <c r="Y36" s="11">
        <v>0</v>
      </c>
      <c r="Z36" s="11">
        <f t="shared" si="39"/>
        <v>0</v>
      </c>
      <c r="AA36" s="11">
        <f t="shared" si="40"/>
        <v>0</v>
      </c>
      <c r="AB36" s="11">
        <f t="shared" si="41"/>
        <v>0</v>
      </c>
      <c r="AC36" s="11">
        <v>0</v>
      </c>
      <c r="AD36" s="11">
        <f t="shared" ca="1" si="24"/>
        <v>133.12</v>
      </c>
      <c r="AE36" s="10"/>
    </row>
    <row r="37" spans="2:38" x14ac:dyDescent="0.25">
      <c r="B37" s="23">
        <v>13</v>
      </c>
      <c r="C37" s="10" t="s">
        <v>17</v>
      </c>
      <c r="D37" s="23">
        <v>240</v>
      </c>
      <c r="E37" s="11">
        <v>0</v>
      </c>
      <c r="F37" s="11"/>
      <c r="G37" s="11">
        <v>0</v>
      </c>
      <c r="H37" s="11">
        <f t="shared" si="28"/>
        <v>5.2816666666666672</v>
      </c>
      <c r="I37" s="11">
        <f>GFA!I16*1%</f>
        <v>16.442399999999999</v>
      </c>
      <c r="J37" s="11">
        <f t="shared" ca="1" si="38"/>
        <v>30.645616438356164</v>
      </c>
      <c r="K37" s="11"/>
      <c r="L37" s="11">
        <f t="shared" ca="1" si="22"/>
        <v>52.36968310502283</v>
      </c>
      <c r="M37" s="35">
        <f t="shared" si="31"/>
        <v>0.10249999999999999</v>
      </c>
      <c r="N37" s="11">
        <f t="shared" ca="1" si="32"/>
        <v>5.37</v>
      </c>
      <c r="P37" s="11">
        <f>GFA!I16</f>
        <v>1644.24</v>
      </c>
      <c r="Q37" s="11">
        <f>'Dep''n 23-27'!F18</f>
        <v>27.14</v>
      </c>
      <c r="R37" s="11">
        <f>'ROE Sheet'!Y38</f>
        <v>102.08</v>
      </c>
      <c r="S37" s="11">
        <f>'Int. on Loan 24-26'!D17</f>
        <v>50.93</v>
      </c>
      <c r="T37" s="11">
        <f t="shared" ca="1" si="23"/>
        <v>5.37</v>
      </c>
      <c r="U37" s="11">
        <f>'O&amp;M'!K19</f>
        <v>63.38</v>
      </c>
      <c r="V37" s="11">
        <f>'F8-NTI'!C17</f>
        <v>0.33</v>
      </c>
      <c r="W37" s="11">
        <f t="shared" ca="1" si="33"/>
        <v>248.57</v>
      </c>
      <c r="X37" s="11">
        <v>0</v>
      </c>
      <c r="Y37" s="11">
        <v>0</v>
      </c>
      <c r="Z37" s="11">
        <f t="shared" si="39"/>
        <v>0</v>
      </c>
      <c r="AA37" s="11">
        <f t="shared" si="40"/>
        <v>0</v>
      </c>
      <c r="AB37" s="11">
        <f t="shared" si="41"/>
        <v>0</v>
      </c>
      <c r="AC37" s="11">
        <v>0</v>
      </c>
      <c r="AD37" s="11">
        <f t="shared" ca="1" si="24"/>
        <v>248.57</v>
      </c>
      <c r="AE37" s="10"/>
    </row>
    <row r="38" spans="2:38" x14ac:dyDescent="0.25">
      <c r="B38" s="23">
        <v>14</v>
      </c>
      <c r="C38" s="10" t="s">
        <v>18</v>
      </c>
      <c r="D38" s="23">
        <v>120</v>
      </c>
      <c r="E38" s="11">
        <v>0</v>
      </c>
      <c r="F38" s="11"/>
      <c r="G38" s="11">
        <v>0</v>
      </c>
      <c r="H38" s="11">
        <f t="shared" si="28"/>
        <v>3.8408333333333338</v>
      </c>
      <c r="I38" s="11">
        <f>GFA!I17*1%</f>
        <v>4.4076000000000004</v>
      </c>
      <c r="J38" s="11">
        <f t="shared" ca="1" si="38"/>
        <v>13.366849315068492</v>
      </c>
      <c r="K38" s="11"/>
      <c r="L38" s="11">
        <f t="shared" ca="1" si="22"/>
        <v>21.615282648401827</v>
      </c>
      <c r="M38" s="35">
        <f t="shared" si="31"/>
        <v>0.10249999999999999</v>
      </c>
      <c r="N38" s="11">
        <f t="shared" ca="1" si="32"/>
        <v>2.2200000000000002</v>
      </c>
      <c r="P38" s="11">
        <f>GFA!I17</f>
        <v>440.76000000000005</v>
      </c>
      <c r="Q38" s="11">
        <f>'Dep''n 23-27'!F19</f>
        <v>9.14</v>
      </c>
      <c r="R38" s="11">
        <f>'ROE Sheet'!Y39</f>
        <v>29.16</v>
      </c>
      <c r="S38" s="11">
        <f>'Int. on Loan 24-26'!D18</f>
        <v>22.07</v>
      </c>
      <c r="T38" s="11">
        <f t="shared" ca="1" si="23"/>
        <v>2.2200000000000002</v>
      </c>
      <c r="U38" s="11">
        <f>'O&amp;M'!K20</f>
        <v>46.09</v>
      </c>
      <c r="V38" s="11">
        <f>'F8-NTI'!C18</f>
        <v>0.26</v>
      </c>
      <c r="W38" s="11">
        <f t="shared" ca="1" si="33"/>
        <v>108.42</v>
      </c>
      <c r="X38" s="11">
        <v>0</v>
      </c>
      <c r="Y38" s="11">
        <v>0</v>
      </c>
      <c r="Z38" s="11">
        <f t="shared" si="39"/>
        <v>0</v>
      </c>
      <c r="AA38" s="11">
        <f t="shared" si="40"/>
        <v>0</v>
      </c>
      <c r="AB38" s="11">
        <f t="shared" si="41"/>
        <v>0</v>
      </c>
      <c r="AC38" s="11">
        <v>0</v>
      </c>
      <c r="AD38" s="11">
        <f t="shared" ca="1" si="24"/>
        <v>108.42</v>
      </c>
      <c r="AE38" s="10"/>
    </row>
    <row r="39" spans="2:38" x14ac:dyDescent="0.25">
      <c r="B39" s="21"/>
      <c r="C39" s="21" t="s">
        <v>19</v>
      </c>
      <c r="D39" s="21">
        <f t="shared" ref="D39:I39" si="42">SUM(D25:D38)</f>
        <v>6421.76</v>
      </c>
      <c r="E39" s="28">
        <f t="shared" si="42"/>
        <v>540.45773448</v>
      </c>
      <c r="F39" s="28">
        <f t="shared" si="42"/>
        <v>810.68660172000011</v>
      </c>
      <c r="G39" s="28">
        <f t="shared" si="42"/>
        <v>7.8012129600000009</v>
      </c>
      <c r="H39" s="28">
        <f t="shared" si="42"/>
        <v>236.36750000000001</v>
      </c>
      <c r="I39" s="28">
        <f t="shared" si="42"/>
        <v>320.19609805874001</v>
      </c>
      <c r="J39" s="28">
        <f ca="1">SUM(J25:J38)</f>
        <v>2052.0343247597261</v>
      </c>
      <c r="K39" s="28">
        <f>SUM(K25:K38)</f>
        <v>818.48781468000004</v>
      </c>
      <c r="L39" s="28">
        <f ca="1">SUM(L25:L38)</f>
        <v>3149.055657298466</v>
      </c>
      <c r="M39" s="28"/>
      <c r="N39" s="28">
        <f ca="1">SUM(N25:N38)</f>
        <v>322.81000000000006</v>
      </c>
      <c r="O39" s="20"/>
      <c r="P39" s="28">
        <f t="shared" ref="P39:W39" si="43">SUM(P25:P38)</f>
        <v>32019.609805873999</v>
      </c>
      <c r="Q39" s="28">
        <f t="shared" si="43"/>
        <v>774.78</v>
      </c>
      <c r="R39" s="28">
        <f t="shared" si="43"/>
        <v>2013.26</v>
      </c>
      <c r="S39" s="28">
        <f t="shared" si="43"/>
        <v>821.10000000000014</v>
      </c>
      <c r="T39" s="28">
        <f t="shared" ca="1" si="43"/>
        <v>322.81000000000006</v>
      </c>
      <c r="U39" s="28">
        <f t="shared" si="43"/>
        <v>2836.4100000000003</v>
      </c>
      <c r="V39" s="28">
        <f t="shared" si="43"/>
        <v>82.35</v>
      </c>
      <c r="W39" s="28">
        <f t="shared" ca="1" si="43"/>
        <v>6686.01</v>
      </c>
      <c r="X39" s="11">
        <v>0</v>
      </c>
      <c r="Y39" s="11">
        <v>0</v>
      </c>
      <c r="Z39" s="11">
        <f t="shared" si="39"/>
        <v>0</v>
      </c>
      <c r="AA39" s="39">
        <f>SUM(AA25:AA38)</f>
        <v>9863.3536542600013</v>
      </c>
      <c r="AB39" s="39">
        <f>SUM(AB25:AB38)</f>
        <v>94.914757680000008</v>
      </c>
      <c r="AC39" s="39">
        <f>SUM(AC25:AC31)</f>
        <v>9958.2684119400001</v>
      </c>
      <c r="AD39" s="39">
        <f ca="1">SUM(AD25:AD38)</f>
        <v>16644.278411939998</v>
      </c>
      <c r="AE39" s="27"/>
    </row>
    <row r="40" spans="2:38" x14ac:dyDescent="0.25">
      <c r="J40" s="171"/>
      <c r="U40" s="171"/>
    </row>
    <row r="41" spans="2:38" x14ac:dyDescent="0.25">
      <c r="B41" s="483" t="s">
        <v>104</v>
      </c>
      <c r="C41" s="483"/>
      <c r="D41" s="483"/>
      <c r="E41" s="483"/>
      <c r="F41" s="483"/>
      <c r="G41" s="483"/>
      <c r="H41" s="483"/>
      <c r="I41" s="483"/>
      <c r="J41" s="483"/>
      <c r="K41" s="483"/>
      <c r="L41" s="19" t="s">
        <v>83</v>
      </c>
      <c r="M41" s="26">
        <v>8.75</v>
      </c>
    </row>
    <row r="42" spans="2:38" x14ac:dyDescent="0.25">
      <c r="C42" s="22" t="s">
        <v>138</v>
      </c>
      <c r="L42" s="19" t="s">
        <v>53</v>
      </c>
      <c r="M42" s="26">
        <f>M41+1.5</f>
        <v>10.25</v>
      </c>
      <c r="Q42" s="20" t="s">
        <v>361</v>
      </c>
    </row>
    <row r="43" spans="2:38" ht="63" x14ac:dyDescent="0.25">
      <c r="B43" s="8" t="s">
        <v>1</v>
      </c>
      <c r="C43" s="30" t="s">
        <v>2</v>
      </c>
      <c r="D43" s="9" t="s">
        <v>55</v>
      </c>
      <c r="E43" s="31" t="s">
        <v>173</v>
      </c>
      <c r="F43" s="31" t="s">
        <v>82</v>
      </c>
      <c r="G43" s="31" t="s">
        <v>174</v>
      </c>
      <c r="H43" s="31" t="s">
        <v>56</v>
      </c>
      <c r="I43" s="31" t="s">
        <v>168</v>
      </c>
      <c r="J43" s="31" t="s">
        <v>172</v>
      </c>
      <c r="K43" s="31" t="s">
        <v>69</v>
      </c>
      <c r="L43" s="31" t="s">
        <v>57</v>
      </c>
      <c r="M43" s="31" t="s">
        <v>58</v>
      </c>
      <c r="N43" s="31" t="s">
        <v>59</v>
      </c>
      <c r="P43" s="9" t="s">
        <v>171</v>
      </c>
      <c r="Q43" s="9" t="s">
        <v>60</v>
      </c>
      <c r="R43" s="8" t="s">
        <v>51</v>
      </c>
      <c r="S43" s="30" t="s">
        <v>61</v>
      </c>
      <c r="T43" s="8" t="s">
        <v>62</v>
      </c>
      <c r="U43" s="8" t="s">
        <v>48</v>
      </c>
      <c r="V43" s="8" t="s">
        <v>98</v>
      </c>
      <c r="W43" s="32" t="s">
        <v>63</v>
      </c>
      <c r="X43" s="33" t="s">
        <v>67</v>
      </c>
      <c r="Y43" s="33" t="s">
        <v>68</v>
      </c>
      <c r="Z43" s="33" t="s">
        <v>78</v>
      </c>
      <c r="AA43" s="32" t="s">
        <v>70</v>
      </c>
      <c r="AB43" s="32" t="s">
        <v>71</v>
      </c>
      <c r="AC43" s="32" t="s">
        <v>99</v>
      </c>
      <c r="AD43" s="32" t="s">
        <v>64</v>
      </c>
      <c r="AE43" s="9" t="s">
        <v>65</v>
      </c>
      <c r="AF43" s="34" t="s">
        <v>79</v>
      </c>
      <c r="AG43" s="103" t="s">
        <v>436</v>
      </c>
      <c r="AH43" s="103" t="s">
        <v>437</v>
      </c>
    </row>
    <row r="44" spans="2:38" x14ac:dyDescent="0.25">
      <c r="B44" s="23">
        <v>1</v>
      </c>
      <c r="C44" s="10" t="s">
        <v>4</v>
      </c>
      <c r="D44" s="23">
        <v>500</v>
      </c>
      <c r="E44" s="11">
        <f>AF44*X44*20/365/10</f>
        <v>68.497365599999995</v>
      </c>
      <c r="F44" s="11">
        <f>AF44*X44*30/365/10</f>
        <v>102.74604839999999</v>
      </c>
      <c r="G44" s="11">
        <f>Y44*AF44*30/365/10</f>
        <v>0.97139700000000018</v>
      </c>
      <c r="H44" s="11">
        <f>U44/12</f>
        <v>26.080833333333334</v>
      </c>
      <c r="I44" s="11">
        <f>P44*1%</f>
        <v>22.815900000000003</v>
      </c>
      <c r="J44" s="11">
        <f ca="1">F44*45/30+G44*45/30+W44*45/365</f>
        <v>219.06192152465752</v>
      </c>
      <c r="K44" s="11">
        <f>F44+G44</f>
        <v>103.71744539999999</v>
      </c>
      <c r="L44" s="11">
        <f ca="1">SUM(E44:J44)-K44</f>
        <v>336.45602045799086</v>
      </c>
      <c r="M44" s="35">
        <f>$M$42%</f>
        <v>0.10249999999999999</v>
      </c>
      <c r="N44" s="11">
        <f ca="1">ROUND(L44*M44,2)</f>
        <v>34.49</v>
      </c>
      <c r="P44" s="11">
        <f>GFA!K3</f>
        <v>2281.59</v>
      </c>
      <c r="Q44" s="11">
        <f>'Dep''n 23-27'!G5</f>
        <v>34.56</v>
      </c>
      <c r="R44" s="11">
        <f>'ROE Sheet'!Y46</f>
        <v>142.36000000000001</v>
      </c>
      <c r="S44" s="11">
        <f>'Int. on Loan 24-26'!E4</f>
        <v>0</v>
      </c>
      <c r="T44" s="11">
        <f t="shared" ref="T44:T58" ca="1" si="44">N44</f>
        <v>34.49</v>
      </c>
      <c r="U44" s="11">
        <f>'O&amp;M'!O6</f>
        <v>312.97000000000003</v>
      </c>
      <c r="V44" s="11">
        <f>'F8-NTI'!D4</f>
        <v>9.44</v>
      </c>
      <c r="W44" s="11">
        <f ca="1">SUM(Q44:U44)-V44</f>
        <v>514.94000000000005</v>
      </c>
      <c r="X44" s="47">
        <v>3.702</v>
      </c>
      <c r="Y44" s="47">
        <v>3.5000000000000003E-2</v>
      </c>
      <c r="Z44" s="47">
        <v>3.7370000000000001</v>
      </c>
      <c r="AA44" s="11">
        <f>X44*AF44/10</f>
        <v>1250.0769221999999</v>
      </c>
      <c r="AB44" s="11">
        <f>Y44*AF44/10</f>
        <v>11.818663500000001</v>
      </c>
      <c r="AC44" s="11">
        <f>Z44*AF44/10</f>
        <v>1261.8955857000001</v>
      </c>
      <c r="AD44" s="11">
        <f t="shared" ref="AD44:AD57" ca="1" si="45">W44+AC44</f>
        <v>1776.8355857000001</v>
      </c>
      <c r="AE44" s="36">
        <v>85</v>
      </c>
      <c r="AF44" s="10">
        <f>D44*24*(1-0.093)*85%*365/1000</f>
        <v>3376.761</v>
      </c>
      <c r="AG44" s="176">
        <v>3376.76</v>
      </c>
      <c r="AH44" s="47">
        <f>AG44*Z44/10</f>
        <v>1261.8952120000001</v>
      </c>
      <c r="AI44" s="122"/>
      <c r="AJ44" s="122"/>
      <c r="AK44" s="122"/>
      <c r="AL44" s="122"/>
    </row>
    <row r="45" spans="2:38" x14ac:dyDescent="0.25">
      <c r="B45" s="23">
        <v>2</v>
      </c>
      <c r="C45" s="10" t="s">
        <v>5</v>
      </c>
      <c r="D45" s="23">
        <v>500</v>
      </c>
      <c r="E45" s="11">
        <f t="shared" ref="E45:E49" si="46">AF45*X45*20/365/10</f>
        <v>73.817450999999991</v>
      </c>
      <c r="F45" s="11">
        <f t="shared" ref="F45:F49" si="47">AF45*X45*30/365/10</f>
        <v>110.72617649999999</v>
      </c>
      <c r="G45" s="11">
        <f t="shared" ref="G45:G49" si="48">Y45*AF45*30/365/10</f>
        <v>0.98577899999999996</v>
      </c>
      <c r="H45" s="11">
        <f t="shared" ref="H45:H57" si="49">U45/12</f>
        <v>26.080833333333334</v>
      </c>
      <c r="I45" s="11">
        <f t="shared" ref="I45:I57" si="50">P45*1%</f>
        <v>24.7621</v>
      </c>
      <c r="J45" s="11">
        <f t="shared" ref="J45:J49" ca="1" si="51">F45*45/30+G45*45/30+W45*45/365</f>
        <v>231.48396064726026</v>
      </c>
      <c r="K45" s="11">
        <f t="shared" ref="K45:K49" si="52">F45+G45</f>
        <v>111.71195549999999</v>
      </c>
      <c r="L45" s="11">
        <f t="shared" ref="L45:L57" ca="1" si="53">SUM(E45:J45)-K45</f>
        <v>356.14434498059364</v>
      </c>
      <c r="M45" s="35">
        <f t="shared" ref="M45:M57" si="54">$M$42%</f>
        <v>0.10249999999999999</v>
      </c>
      <c r="N45" s="11">
        <f ca="1">ROUND(L45*M45,2)</f>
        <v>36.5</v>
      </c>
      <c r="P45" s="11">
        <f>GFA!K4</f>
        <v>2476.21</v>
      </c>
      <c r="Q45" s="11">
        <f>'Dep''n 23-27'!G6</f>
        <v>23.86</v>
      </c>
      <c r="R45" s="11">
        <f>'ROE Sheet'!Y47</f>
        <v>154.54</v>
      </c>
      <c r="S45" s="11">
        <f>'Int. on Loan 24-26'!E5</f>
        <v>0</v>
      </c>
      <c r="T45" s="11">
        <f t="shared" ca="1" si="44"/>
        <v>36.5</v>
      </c>
      <c r="U45" s="11">
        <f>'O&amp;M'!O7</f>
        <v>312.97000000000003</v>
      </c>
      <c r="V45" s="11">
        <f>'F8-NTI'!D5</f>
        <v>9.44</v>
      </c>
      <c r="W45" s="11">
        <f t="shared" ref="W45:W57" ca="1" si="55">SUM(Q45:U45)-V45</f>
        <v>518.42999999999995</v>
      </c>
      <c r="X45" s="47">
        <v>3.819</v>
      </c>
      <c r="Y45" s="47">
        <v>3.4000000000000002E-2</v>
      </c>
      <c r="Z45" s="47">
        <v>3.8530000000000002</v>
      </c>
      <c r="AA45" s="11">
        <f t="shared" ref="AA45:AA49" si="56">X45*AF45/10</f>
        <v>1347.1684807500001</v>
      </c>
      <c r="AB45" s="11">
        <f t="shared" ref="AB45:AB49" si="57">Y45*AF45/10</f>
        <v>11.9936445</v>
      </c>
      <c r="AC45" s="11">
        <f t="shared" ref="AC45:AC49" si="58">Z45*AF45/10</f>
        <v>1359.1621252500001</v>
      </c>
      <c r="AD45" s="11">
        <f t="shared" ca="1" si="45"/>
        <v>1877.5921252500002</v>
      </c>
      <c r="AE45" s="36">
        <v>85</v>
      </c>
      <c r="AF45" s="10">
        <f>D45*24*(1-0.0525)*85%*365/1000</f>
        <v>3527.5425</v>
      </c>
      <c r="AG45" s="47">
        <v>3376.76</v>
      </c>
      <c r="AH45" s="47">
        <f t="shared" ref="AH45:AH50" si="59">AG45*Z45/10</f>
        <v>1301.0656280000001</v>
      </c>
      <c r="AI45" s="122"/>
      <c r="AJ45" s="122"/>
      <c r="AK45" s="122"/>
      <c r="AL45" s="122"/>
    </row>
    <row r="46" spans="2:38" x14ac:dyDescent="0.25">
      <c r="B46" s="23">
        <v>3</v>
      </c>
      <c r="C46" s="10" t="s">
        <v>6</v>
      </c>
      <c r="D46" s="23">
        <v>800</v>
      </c>
      <c r="E46" s="11">
        <f t="shared" si="46"/>
        <v>105.11883359999999</v>
      </c>
      <c r="F46" s="11">
        <f t="shared" si="47"/>
        <v>157.6782504</v>
      </c>
      <c r="G46" s="11">
        <f t="shared" si="48"/>
        <v>1.6236360000000005</v>
      </c>
      <c r="H46" s="11">
        <f t="shared" si="49"/>
        <v>49.055833333333332</v>
      </c>
      <c r="I46" s="11">
        <f t="shared" si="50"/>
        <v>51.125699999999995</v>
      </c>
      <c r="J46" s="11">
        <f t="shared" ca="1" si="51"/>
        <v>401.46693918904111</v>
      </c>
      <c r="K46" s="11">
        <f t="shared" si="52"/>
        <v>159.3018864</v>
      </c>
      <c r="L46" s="11">
        <f t="shared" ca="1" si="53"/>
        <v>606.76730612237429</v>
      </c>
      <c r="M46" s="35">
        <f t="shared" si="54"/>
        <v>0.10249999999999999</v>
      </c>
      <c r="N46" s="11">
        <f t="shared" ref="N46:N57" ca="1" si="60">ROUND(L46*M46,2)</f>
        <v>62.19</v>
      </c>
      <c r="P46" s="11">
        <f>GFA!K5</f>
        <v>5112.57</v>
      </c>
      <c r="Q46" s="11">
        <f>'Dep''n 23-27'!G7</f>
        <v>174.95</v>
      </c>
      <c r="R46" s="11">
        <f>'ROE Sheet'!Y48</f>
        <v>317.77999999999997</v>
      </c>
      <c r="S46" s="11">
        <f>'Int. on Loan 24-26'!E6</f>
        <v>188.83</v>
      </c>
      <c r="T46" s="11">
        <f t="shared" ca="1" si="44"/>
        <v>62.19</v>
      </c>
      <c r="U46" s="11">
        <f>'O&amp;M'!O8</f>
        <v>588.66999999999996</v>
      </c>
      <c r="V46" s="11">
        <f>'F8-NTI'!D6</f>
        <v>14.25</v>
      </c>
      <c r="W46" s="11">
        <f t="shared" ca="1" si="55"/>
        <v>1318.17</v>
      </c>
      <c r="X46" s="47">
        <v>3.399</v>
      </c>
      <c r="Y46" s="47">
        <v>3.5000000000000003E-2</v>
      </c>
      <c r="Z46" s="47">
        <v>3.4340000000000002</v>
      </c>
      <c r="AA46" s="11">
        <f t="shared" si="56"/>
        <v>1918.4187132</v>
      </c>
      <c r="AB46" s="11">
        <f t="shared" si="57"/>
        <v>19.754238000000004</v>
      </c>
      <c r="AC46" s="11">
        <f t="shared" si="58"/>
        <v>1938.1729512000002</v>
      </c>
      <c r="AD46" s="11">
        <f t="shared" ca="1" si="45"/>
        <v>3256.3429512000002</v>
      </c>
      <c r="AE46" s="36">
        <v>85</v>
      </c>
      <c r="AF46" s="10">
        <f>D46*24*(1-0.0525)*85%*365/1000</f>
        <v>5644.0680000000002</v>
      </c>
      <c r="AG46" s="47"/>
      <c r="AH46" s="47">
        <f t="shared" si="59"/>
        <v>0</v>
      </c>
      <c r="AI46" s="122"/>
      <c r="AJ46" s="122"/>
      <c r="AK46" s="122"/>
      <c r="AL46" s="122"/>
    </row>
    <row r="47" spans="2:38" x14ac:dyDescent="0.25">
      <c r="B47" s="23">
        <v>4</v>
      </c>
      <c r="C47" s="10" t="s">
        <v>8</v>
      </c>
      <c r="D47" s="23">
        <v>500</v>
      </c>
      <c r="E47" s="11">
        <f t="shared" si="46"/>
        <v>55.725507000000007</v>
      </c>
      <c r="F47" s="11">
        <f t="shared" si="47"/>
        <v>83.588260500000004</v>
      </c>
      <c r="G47" s="11">
        <f t="shared" si="48"/>
        <v>1.0727594999999999</v>
      </c>
      <c r="H47" s="11">
        <f t="shared" si="49"/>
        <v>21.458333333333332</v>
      </c>
      <c r="I47" s="11">
        <f t="shared" si="50"/>
        <v>25.575500000000002</v>
      </c>
      <c r="J47" s="11">
        <f t="shared" ca="1" si="51"/>
        <v>182.86550260273975</v>
      </c>
      <c r="K47" s="11">
        <f t="shared" si="52"/>
        <v>84.661020000000008</v>
      </c>
      <c r="L47" s="11">
        <f t="shared" ca="1" si="53"/>
        <v>285.62484293607309</v>
      </c>
      <c r="M47" s="35">
        <f t="shared" si="54"/>
        <v>0.10249999999999999</v>
      </c>
      <c r="N47" s="11">
        <f t="shared" ca="1" si="60"/>
        <v>29.28</v>
      </c>
      <c r="P47" s="11">
        <f>GFA!K7</f>
        <v>2557.5500000000002</v>
      </c>
      <c r="Q47" s="11">
        <f>'Dep''n 23-27'!G9</f>
        <v>18.309999999999999</v>
      </c>
      <c r="R47" s="11">
        <f>'ROE Sheet'!Y49</f>
        <v>158.84</v>
      </c>
      <c r="S47" s="11">
        <f>'Int. on Loan 24-26'!E8</f>
        <v>0</v>
      </c>
      <c r="T47" s="11">
        <f t="shared" ca="1" si="44"/>
        <v>29.28</v>
      </c>
      <c r="U47" s="11">
        <f>'O&amp;M'!O10</f>
        <v>257.5</v>
      </c>
      <c r="V47" s="11">
        <f>'F8-NTI'!D8</f>
        <v>10.73</v>
      </c>
      <c r="W47" s="11">
        <f t="shared" ca="1" si="55"/>
        <v>453.2</v>
      </c>
      <c r="X47" s="47">
        <v>2.883</v>
      </c>
      <c r="Y47" s="47">
        <v>3.6999999999999998E-2</v>
      </c>
      <c r="Z47" s="47">
        <v>2.9209999999999998</v>
      </c>
      <c r="AA47" s="11">
        <f t="shared" si="56"/>
        <v>1016.9905027500001</v>
      </c>
      <c r="AB47" s="11">
        <f t="shared" si="57"/>
        <v>13.051907249999999</v>
      </c>
      <c r="AC47" s="11">
        <f t="shared" si="58"/>
        <v>1030.3951642500001</v>
      </c>
      <c r="AD47" s="11">
        <f t="shared" ca="1" si="45"/>
        <v>1483.5951642500002</v>
      </c>
      <c r="AE47" s="36">
        <v>85</v>
      </c>
      <c r="AF47" s="10">
        <f>D47*24*(1-0.0525)*85%*365/1000</f>
        <v>3527.5425</v>
      </c>
      <c r="AG47" s="47"/>
      <c r="AH47" s="47">
        <f t="shared" si="59"/>
        <v>0</v>
      </c>
      <c r="AI47" s="122"/>
      <c r="AJ47" s="122"/>
      <c r="AK47" s="122"/>
      <c r="AL47" s="122"/>
    </row>
    <row r="48" spans="2:38" x14ac:dyDescent="0.25">
      <c r="B48" s="23">
        <v>5</v>
      </c>
      <c r="C48" s="10" t="s">
        <v>9</v>
      </c>
      <c r="D48" s="23">
        <v>600</v>
      </c>
      <c r="E48" s="11">
        <f t="shared" si="46"/>
        <v>62.625960000000006</v>
      </c>
      <c r="F48" s="11">
        <f t="shared" si="47"/>
        <v>93.938940000000017</v>
      </c>
      <c r="G48" s="11">
        <f t="shared" si="48"/>
        <v>1.2873114000000001</v>
      </c>
      <c r="H48" s="11">
        <f t="shared" si="49"/>
        <v>25.749166666666667</v>
      </c>
      <c r="I48" s="37">
        <f t="shared" si="50"/>
        <v>37.782698058739996</v>
      </c>
      <c r="J48" s="11">
        <f t="shared" ca="1" si="51"/>
        <v>239.2749935383562</v>
      </c>
      <c r="K48" s="11">
        <f t="shared" si="52"/>
        <v>95.226251400000024</v>
      </c>
      <c r="L48" s="11">
        <f t="shared" ca="1" si="53"/>
        <v>365.4328182637629</v>
      </c>
      <c r="M48" s="35">
        <f t="shared" si="54"/>
        <v>0.10249999999999999</v>
      </c>
      <c r="N48" s="11">
        <f t="shared" ca="1" si="60"/>
        <v>37.46</v>
      </c>
      <c r="P48" s="37">
        <f>GFA!K8</f>
        <v>3778.2698058739998</v>
      </c>
      <c r="Q48" s="37">
        <f>'Dep''n 23-27'!G10</f>
        <v>116.31</v>
      </c>
      <c r="R48" s="37">
        <f>'ROE Sheet'!Y50</f>
        <v>237.1</v>
      </c>
      <c r="S48" s="37">
        <f>'Int. on Loan 24-26'!E9</f>
        <v>95.21</v>
      </c>
      <c r="T48" s="37">
        <f t="shared" ca="1" si="44"/>
        <v>37.46</v>
      </c>
      <c r="U48" s="11">
        <f>'O&amp;M'!O11</f>
        <v>308.99</v>
      </c>
      <c r="V48" s="11">
        <f>'F8-NTI'!D9</f>
        <v>12.87</v>
      </c>
      <c r="W48" s="11">
        <f t="shared" ca="1" si="55"/>
        <v>782.19999999999993</v>
      </c>
      <c r="X48" s="47">
        <v>2.7</v>
      </c>
      <c r="Y48" s="47">
        <v>3.6999999999999998E-2</v>
      </c>
      <c r="Z48" s="47">
        <v>2.7370000000000001</v>
      </c>
      <c r="AA48" s="11">
        <f t="shared" si="56"/>
        <v>1142.9237700000001</v>
      </c>
      <c r="AB48" s="11">
        <f t="shared" si="57"/>
        <v>15.662288700000001</v>
      </c>
      <c r="AC48" s="11">
        <f t="shared" si="58"/>
        <v>1158.5860587000002</v>
      </c>
      <c r="AD48" s="37">
        <f t="shared" ca="1" si="45"/>
        <v>1940.7860587</v>
      </c>
      <c r="AE48" s="36">
        <v>85</v>
      </c>
      <c r="AF48" s="10">
        <f>D48*24*(1-0.0525)*85%*365/1000</f>
        <v>4233.0510000000004</v>
      </c>
      <c r="AG48" s="47"/>
      <c r="AH48" s="47">
        <f t="shared" si="59"/>
        <v>0</v>
      </c>
      <c r="AI48" s="122"/>
      <c r="AJ48" s="122"/>
      <c r="AK48" s="122"/>
      <c r="AL48" s="122"/>
    </row>
    <row r="49" spans="2:38" x14ac:dyDescent="0.25">
      <c r="B49" s="23">
        <v>6</v>
      </c>
      <c r="C49" s="10" t="s">
        <v>10</v>
      </c>
      <c r="D49" s="23">
        <v>1080</v>
      </c>
      <c r="E49" s="11">
        <f t="shared" si="46"/>
        <v>146.84019551999998</v>
      </c>
      <c r="F49" s="11">
        <f t="shared" si="47"/>
        <v>220.26029327999998</v>
      </c>
      <c r="G49" s="11">
        <f t="shared" si="48"/>
        <v>2.1167243999999998</v>
      </c>
      <c r="H49" s="11">
        <f t="shared" si="49"/>
        <v>41.4</v>
      </c>
      <c r="I49" s="11">
        <f t="shared" si="50"/>
        <v>75.795600000000007</v>
      </c>
      <c r="J49" s="11">
        <f t="shared" ca="1" si="51"/>
        <v>545.46127994465746</v>
      </c>
      <c r="K49" s="11">
        <f t="shared" si="52"/>
        <v>222.37701767999999</v>
      </c>
      <c r="L49" s="11">
        <f t="shared" ca="1" si="53"/>
        <v>809.49707546465731</v>
      </c>
      <c r="M49" s="35">
        <f t="shared" si="54"/>
        <v>0.10249999999999999</v>
      </c>
      <c r="N49" s="11">
        <f t="shared" ca="1" si="60"/>
        <v>82.97</v>
      </c>
      <c r="P49" s="11">
        <f>GFA!K9</f>
        <v>7579.56</v>
      </c>
      <c r="Q49" s="11">
        <f>'Dep''n 23-27'!G11</f>
        <v>267.02999999999997</v>
      </c>
      <c r="R49" s="11">
        <f>'ROE Sheet'!Y51</f>
        <v>492.62</v>
      </c>
      <c r="S49" s="11">
        <f>'Int. on Loan 24-26'!E10</f>
        <v>395.72</v>
      </c>
      <c r="T49" s="11">
        <f t="shared" ca="1" si="44"/>
        <v>82.97</v>
      </c>
      <c r="U49" s="11">
        <f>'O&amp;M'!O12</f>
        <v>496.8</v>
      </c>
      <c r="V49" s="11">
        <f>'F8-NTI'!D10</f>
        <v>16.43</v>
      </c>
      <c r="W49" s="11">
        <f t="shared" ca="1" si="55"/>
        <v>1718.7099999999998</v>
      </c>
      <c r="X49" s="47">
        <v>3.6419999999999999</v>
      </c>
      <c r="Y49" s="47">
        <v>3.5000000000000003E-2</v>
      </c>
      <c r="Z49" s="47">
        <v>3.677</v>
      </c>
      <c r="AA49" s="11">
        <f t="shared" si="56"/>
        <v>2679.8335682399997</v>
      </c>
      <c r="AB49" s="11">
        <f t="shared" si="57"/>
        <v>25.753480200000002</v>
      </c>
      <c r="AC49" s="11">
        <f t="shared" si="58"/>
        <v>2705.5870484399998</v>
      </c>
      <c r="AD49" s="11">
        <f t="shared" ca="1" si="45"/>
        <v>4424.2970484399993</v>
      </c>
      <c r="AE49" s="36">
        <v>85</v>
      </c>
      <c r="AF49" s="10">
        <f>D49*24*(1-0.085)*85%*365/1000</f>
        <v>7358.1371999999992</v>
      </c>
      <c r="AG49" s="47"/>
      <c r="AH49" s="47">
        <f t="shared" si="59"/>
        <v>0</v>
      </c>
      <c r="AJ49" s="122"/>
      <c r="AK49" s="122"/>
      <c r="AL49" s="122"/>
    </row>
    <row r="50" spans="2:38" x14ac:dyDescent="0.25">
      <c r="B50" s="23">
        <v>7</v>
      </c>
      <c r="C50" s="10" t="s">
        <v>11</v>
      </c>
      <c r="D50" s="23">
        <v>875.6</v>
      </c>
      <c r="E50" s="37">
        <v>0</v>
      </c>
      <c r="F50" s="37"/>
      <c r="G50" s="37">
        <v>0</v>
      </c>
      <c r="H50" s="11">
        <f t="shared" si="49"/>
        <v>17.311666666666667</v>
      </c>
      <c r="I50" s="37">
        <f t="shared" si="50"/>
        <v>19.258299999999998</v>
      </c>
      <c r="J50" s="11">
        <f t="shared" ref="J50:J57" ca="1" si="61">AD50*45/365</f>
        <v>49.46671232876713</v>
      </c>
      <c r="K50" s="37"/>
      <c r="L50" s="11">
        <f t="shared" ca="1" si="53"/>
        <v>86.036678995433789</v>
      </c>
      <c r="M50" s="35">
        <f t="shared" si="54"/>
        <v>0.10249999999999999</v>
      </c>
      <c r="N50" s="11">
        <f t="shared" ca="1" si="60"/>
        <v>8.82</v>
      </c>
      <c r="O50" s="49"/>
      <c r="P50" s="37">
        <f>GFA!K10</f>
        <v>1925.83</v>
      </c>
      <c r="Q50" s="37">
        <f>'Dep''n 23-27'!G12</f>
        <v>59.07</v>
      </c>
      <c r="R50" s="11">
        <f>'ROE Sheet'!Y52</f>
        <v>127.36</v>
      </c>
      <c r="S50" s="11">
        <f>'Int. on Loan 24-26'!E11</f>
        <v>0</v>
      </c>
      <c r="T50" s="11">
        <f t="shared" ca="1" si="44"/>
        <v>8.82</v>
      </c>
      <c r="U50" s="11">
        <f>'O&amp;M'!O13</f>
        <v>207.74</v>
      </c>
      <c r="V50" s="11">
        <f>'F8-NTI'!D11</f>
        <v>1.76</v>
      </c>
      <c r="W50" s="11">
        <f t="shared" ca="1" si="55"/>
        <v>401.23</v>
      </c>
      <c r="X50" s="37">
        <v>0</v>
      </c>
      <c r="Y50" s="37">
        <v>0</v>
      </c>
      <c r="Z50" s="37">
        <f t="shared" ref="Z50:Z58" si="62">X50+Y50</f>
        <v>0</v>
      </c>
      <c r="AA50" s="37">
        <f t="shared" ref="AA50:AA57" si="63">Y50+Z50</f>
        <v>0</v>
      </c>
      <c r="AB50" s="37">
        <f t="shared" ref="AB50:AB57" si="64">Z50+AA50</f>
        <v>0</v>
      </c>
      <c r="AC50" s="37">
        <v>0</v>
      </c>
      <c r="AD50" s="37">
        <f t="shared" ca="1" si="45"/>
        <v>401.23</v>
      </c>
      <c r="AE50" s="10"/>
      <c r="AF50" s="133">
        <f>SUM(AF44:AF49)</f>
        <v>27667.102200000001</v>
      </c>
      <c r="AG50" s="10"/>
      <c r="AH50" s="47">
        <f t="shared" si="59"/>
        <v>0</v>
      </c>
      <c r="AJ50" s="122"/>
      <c r="AK50" s="122"/>
      <c r="AL50" s="122"/>
    </row>
    <row r="51" spans="2:38" x14ac:dyDescent="0.25">
      <c r="B51" s="23">
        <v>8</v>
      </c>
      <c r="C51" s="10" t="s">
        <v>12</v>
      </c>
      <c r="D51" s="23">
        <v>900</v>
      </c>
      <c r="E51" s="11">
        <v>0</v>
      </c>
      <c r="F51" s="11"/>
      <c r="G51" s="11">
        <v>0</v>
      </c>
      <c r="H51" s="11">
        <f t="shared" si="49"/>
        <v>17.525833333333335</v>
      </c>
      <c r="I51" s="11">
        <f t="shared" si="50"/>
        <v>34.004300000000001</v>
      </c>
      <c r="J51" s="11">
        <f t="shared" ca="1" si="61"/>
        <v>65.123013698630146</v>
      </c>
      <c r="K51" s="11"/>
      <c r="L51" s="11">
        <f t="shared" ca="1" si="53"/>
        <v>116.65314703196348</v>
      </c>
      <c r="M51" s="35">
        <f t="shared" si="54"/>
        <v>0.10249999999999999</v>
      </c>
      <c r="N51" s="11">
        <f t="shared" ca="1" si="60"/>
        <v>11.96</v>
      </c>
      <c r="P51" s="11">
        <f>GFA!K11</f>
        <v>3400.43</v>
      </c>
      <c r="Q51" s="11">
        <f>'Dep''n 23-27'!G13</f>
        <v>59.13</v>
      </c>
      <c r="R51" s="11">
        <f>'ROE Sheet'!Y53</f>
        <v>224.75</v>
      </c>
      <c r="S51" s="11">
        <f>'Int. on Loan 24-26'!E12</f>
        <v>30.08</v>
      </c>
      <c r="T51" s="11">
        <f t="shared" ca="1" si="44"/>
        <v>11.96</v>
      </c>
      <c r="U51" s="11">
        <f>'O&amp;M'!O14</f>
        <v>210.31</v>
      </c>
      <c r="V51" s="11">
        <f>'F8-NTI'!D12</f>
        <v>8.01</v>
      </c>
      <c r="W51" s="11">
        <f t="shared" ca="1" si="55"/>
        <v>528.22</v>
      </c>
      <c r="X51" s="11">
        <v>0</v>
      </c>
      <c r="Y51" s="11">
        <v>0</v>
      </c>
      <c r="Z51" s="11">
        <f t="shared" si="62"/>
        <v>0</v>
      </c>
      <c r="AA51" s="11">
        <f t="shared" si="63"/>
        <v>0</v>
      </c>
      <c r="AB51" s="11">
        <f t="shared" si="64"/>
        <v>0</v>
      </c>
      <c r="AC51" s="11">
        <v>0</v>
      </c>
      <c r="AD51" s="11">
        <f t="shared" ca="1" si="45"/>
        <v>528.22</v>
      </c>
      <c r="AE51" s="10"/>
    </row>
    <row r="52" spans="2:38" x14ac:dyDescent="0.25">
      <c r="B52" s="23">
        <v>9</v>
      </c>
      <c r="C52" s="10" t="s">
        <v>13</v>
      </c>
      <c r="D52" s="23">
        <v>54</v>
      </c>
      <c r="E52" s="11">
        <v>0</v>
      </c>
      <c r="F52" s="11"/>
      <c r="G52" s="11">
        <v>0</v>
      </c>
      <c r="H52" s="11">
        <f t="shared" si="49"/>
        <v>5.3483333333333336</v>
      </c>
      <c r="I52" s="11">
        <f t="shared" si="50"/>
        <v>1.2198</v>
      </c>
      <c r="J52" s="11">
        <f t="shared" ca="1" si="61"/>
        <v>9.1652054794520552</v>
      </c>
      <c r="K52" s="11"/>
      <c r="L52" s="11">
        <f t="shared" ca="1" si="53"/>
        <v>15.733338812785389</v>
      </c>
      <c r="M52" s="35">
        <f t="shared" si="54"/>
        <v>0.10249999999999999</v>
      </c>
      <c r="N52" s="11">
        <f t="shared" ca="1" si="60"/>
        <v>1.61</v>
      </c>
      <c r="P52" s="11">
        <f>GFA!K12</f>
        <v>121.98</v>
      </c>
      <c r="Q52" s="11">
        <f>'Dep''n 23-27'!G14</f>
        <v>1.04</v>
      </c>
      <c r="R52" s="11">
        <f>'ROE Sheet'!Y54</f>
        <v>8.07</v>
      </c>
      <c r="S52" s="11">
        <f>'Int. on Loan 24-26'!E13</f>
        <v>0</v>
      </c>
      <c r="T52" s="11">
        <f t="shared" ca="1" si="44"/>
        <v>1.61</v>
      </c>
      <c r="U52" s="11">
        <f>'O&amp;M'!O15</f>
        <v>64.180000000000007</v>
      </c>
      <c r="V52" s="11">
        <f>'F8-NTI'!D13</f>
        <v>0.56000000000000005</v>
      </c>
      <c r="W52" s="11">
        <f t="shared" ca="1" si="55"/>
        <v>74.34</v>
      </c>
      <c r="X52" s="11">
        <v>0</v>
      </c>
      <c r="Y52" s="11">
        <v>0</v>
      </c>
      <c r="Z52" s="11">
        <f t="shared" si="62"/>
        <v>0</v>
      </c>
      <c r="AA52" s="11">
        <f t="shared" si="63"/>
        <v>0</v>
      </c>
      <c r="AB52" s="11">
        <f t="shared" si="64"/>
        <v>0</v>
      </c>
      <c r="AC52" s="11">
        <v>0</v>
      </c>
      <c r="AD52" s="11">
        <f t="shared" ca="1" si="45"/>
        <v>74.34</v>
      </c>
      <c r="AE52" s="10"/>
    </row>
    <row r="53" spans="2:38" x14ac:dyDescent="0.25">
      <c r="B53" s="23">
        <v>10</v>
      </c>
      <c r="C53" s="10" t="s">
        <v>14</v>
      </c>
      <c r="D53" s="23">
        <v>9.16</v>
      </c>
      <c r="E53" s="11">
        <v>0</v>
      </c>
      <c r="F53" s="11"/>
      <c r="G53" s="11">
        <v>0</v>
      </c>
      <c r="H53" s="11">
        <f t="shared" si="49"/>
        <v>0.80583333333333329</v>
      </c>
      <c r="I53" s="11">
        <f t="shared" si="50"/>
        <v>0.31269999999999998</v>
      </c>
      <c r="J53" s="11">
        <f t="shared" ca="1" si="61"/>
        <v>1.4942465753424656</v>
      </c>
      <c r="K53" s="11"/>
      <c r="L53" s="11">
        <f t="shared" ca="1" si="53"/>
        <v>2.6127799086757988</v>
      </c>
      <c r="M53" s="35">
        <f t="shared" si="54"/>
        <v>0.10249999999999999</v>
      </c>
      <c r="N53" s="11">
        <f t="shared" ca="1" si="60"/>
        <v>0.27</v>
      </c>
      <c r="P53" s="11">
        <f>GFA!K13</f>
        <v>31.27</v>
      </c>
      <c r="Q53" s="11">
        <f>'Dep''n 23-27'!G15</f>
        <v>0.34</v>
      </c>
      <c r="R53" s="11">
        <f>'ROE Sheet'!Y55</f>
        <v>1.94</v>
      </c>
      <c r="S53" s="11">
        <f>'Int. on Loan 24-26'!E14</f>
        <v>0</v>
      </c>
      <c r="T53" s="11">
        <f t="shared" ca="1" si="44"/>
        <v>0.27</v>
      </c>
      <c r="U53" s="11">
        <f>'O&amp;M'!O16</f>
        <v>9.67</v>
      </c>
      <c r="V53" s="11">
        <f>'F8-NTI'!D14</f>
        <v>0.1</v>
      </c>
      <c r="W53" s="11">
        <f t="shared" ca="1" si="55"/>
        <v>12.12</v>
      </c>
      <c r="X53" s="11">
        <v>0</v>
      </c>
      <c r="Y53" s="11">
        <v>0</v>
      </c>
      <c r="Z53" s="11">
        <f t="shared" si="62"/>
        <v>0</v>
      </c>
      <c r="AA53" s="11">
        <f t="shared" si="63"/>
        <v>0</v>
      </c>
      <c r="AB53" s="11">
        <f t="shared" si="64"/>
        <v>0</v>
      </c>
      <c r="AC53" s="11">
        <v>0</v>
      </c>
      <c r="AD53" s="11">
        <f t="shared" ca="1" si="45"/>
        <v>12.12</v>
      </c>
      <c r="AE53" s="10"/>
    </row>
    <row r="54" spans="2:38" x14ac:dyDescent="0.25">
      <c r="B54" s="23">
        <v>11</v>
      </c>
      <c r="C54" s="10" t="s">
        <v>15</v>
      </c>
      <c r="D54" s="23">
        <v>9</v>
      </c>
      <c r="E54" s="11">
        <v>0</v>
      </c>
      <c r="F54" s="11"/>
      <c r="G54" s="11">
        <v>0</v>
      </c>
      <c r="H54" s="11">
        <f t="shared" si="49"/>
        <v>0.79249999999999998</v>
      </c>
      <c r="I54" s="11">
        <f t="shared" si="50"/>
        <v>0.2974</v>
      </c>
      <c r="J54" s="11">
        <f t="shared" ca="1" si="61"/>
        <v>1.6052054794520549</v>
      </c>
      <c r="K54" s="11"/>
      <c r="L54" s="11">
        <f t="shared" ca="1" si="53"/>
        <v>2.6951054794520548</v>
      </c>
      <c r="M54" s="35">
        <f t="shared" si="54"/>
        <v>0.10249999999999999</v>
      </c>
      <c r="N54" s="11">
        <f t="shared" ca="1" si="60"/>
        <v>0.28000000000000003</v>
      </c>
      <c r="P54" s="11">
        <f>GFA!K14</f>
        <v>29.74</v>
      </c>
      <c r="Q54" s="11">
        <f>'Dep''n 23-27'!G16</f>
        <v>0.57999999999999996</v>
      </c>
      <c r="R54" s="11">
        <f>'ROE Sheet'!Y56</f>
        <v>1.97</v>
      </c>
      <c r="S54" s="11">
        <f>'Int. on Loan 24-26'!E15</f>
        <v>0.78</v>
      </c>
      <c r="T54" s="11">
        <f t="shared" ca="1" si="44"/>
        <v>0.28000000000000003</v>
      </c>
      <c r="U54" s="11">
        <f>'O&amp;M'!O17</f>
        <v>9.51</v>
      </c>
      <c r="V54" s="11">
        <f>'F8-NTI'!D15</f>
        <v>0.1</v>
      </c>
      <c r="W54" s="11">
        <f t="shared" ca="1" si="55"/>
        <v>13.020000000000001</v>
      </c>
      <c r="X54" s="11">
        <v>0</v>
      </c>
      <c r="Y54" s="11">
        <v>0</v>
      </c>
      <c r="Z54" s="11">
        <f t="shared" si="62"/>
        <v>0</v>
      </c>
      <c r="AA54" s="11">
        <f t="shared" si="63"/>
        <v>0</v>
      </c>
      <c r="AB54" s="11">
        <f t="shared" si="64"/>
        <v>0</v>
      </c>
      <c r="AC54" s="11">
        <v>0</v>
      </c>
      <c r="AD54" s="11">
        <f t="shared" ca="1" si="45"/>
        <v>13.020000000000001</v>
      </c>
      <c r="AE54" s="24"/>
    </row>
    <row r="55" spans="2:38" x14ac:dyDescent="0.25">
      <c r="B55" s="23">
        <v>12</v>
      </c>
      <c r="C55" s="10" t="s">
        <v>16</v>
      </c>
      <c r="D55" s="23">
        <v>234</v>
      </c>
      <c r="E55" s="11">
        <v>0</v>
      </c>
      <c r="F55" s="11"/>
      <c r="G55" s="11">
        <v>0</v>
      </c>
      <c r="H55" s="11">
        <f t="shared" si="49"/>
        <v>5.4691666666666663</v>
      </c>
      <c r="I55" s="11">
        <f t="shared" si="50"/>
        <v>6.9253</v>
      </c>
      <c r="J55" s="11">
        <f t="shared" ca="1" si="61"/>
        <v>16.614246575342467</v>
      </c>
      <c r="K55" s="11"/>
      <c r="L55" s="11">
        <f t="shared" ca="1" si="53"/>
        <v>29.008713242009133</v>
      </c>
      <c r="M55" s="35">
        <f t="shared" si="54"/>
        <v>0.10249999999999999</v>
      </c>
      <c r="N55" s="11">
        <f t="shared" ca="1" si="60"/>
        <v>2.97</v>
      </c>
      <c r="P55" s="11">
        <f>GFA!K15</f>
        <v>692.53</v>
      </c>
      <c r="Q55" s="11">
        <f>'Dep''n 23-27'!G17</f>
        <v>11.14</v>
      </c>
      <c r="R55" s="11">
        <f>'ROE Sheet'!Y57</f>
        <v>43.03</v>
      </c>
      <c r="S55" s="11">
        <f>'Int. on Loan 24-26'!E16</f>
        <v>13.37</v>
      </c>
      <c r="T55" s="11">
        <f t="shared" ca="1" si="44"/>
        <v>2.97</v>
      </c>
      <c r="U55" s="11">
        <f>'O&amp;M'!O18</f>
        <v>65.63</v>
      </c>
      <c r="V55" s="11">
        <f>'F8-NTI'!D16</f>
        <v>1.38</v>
      </c>
      <c r="W55" s="11">
        <f t="shared" ca="1" si="55"/>
        <v>134.76</v>
      </c>
      <c r="X55" s="11">
        <v>0</v>
      </c>
      <c r="Y55" s="11">
        <v>0</v>
      </c>
      <c r="Z55" s="11">
        <f t="shared" si="62"/>
        <v>0</v>
      </c>
      <c r="AA55" s="11">
        <f t="shared" si="63"/>
        <v>0</v>
      </c>
      <c r="AB55" s="11">
        <f t="shared" si="64"/>
        <v>0</v>
      </c>
      <c r="AC55" s="11">
        <v>0</v>
      </c>
      <c r="AD55" s="11">
        <f t="shared" ca="1" si="45"/>
        <v>134.76</v>
      </c>
      <c r="AE55" s="10"/>
    </row>
    <row r="56" spans="2:38" x14ac:dyDescent="0.25">
      <c r="B56" s="23">
        <v>13</v>
      </c>
      <c r="C56" s="10" t="s">
        <v>17</v>
      </c>
      <c r="D56" s="23">
        <v>240</v>
      </c>
      <c r="E56" s="11">
        <v>0</v>
      </c>
      <c r="F56" s="11"/>
      <c r="G56" s="11">
        <v>0</v>
      </c>
      <c r="H56" s="11">
        <f t="shared" si="49"/>
        <v>5.5133333333333328</v>
      </c>
      <c r="I56" s="11">
        <f t="shared" si="50"/>
        <v>16.442399999999999</v>
      </c>
      <c r="J56" s="11">
        <f t="shared" ca="1" si="61"/>
        <v>30.771369863013696</v>
      </c>
      <c r="K56" s="11"/>
      <c r="L56" s="11">
        <f t="shared" ca="1" si="53"/>
        <v>52.727103196347031</v>
      </c>
      <c r="M56" s="35">
        <f t="shared" si="54"/>
        <v>0.10249999999999999</v>
      </c>
      <c r="N56" s="11">
        <f t="shared" ca="1" si="60"/>
        <v>5.4</v>
      </c>
      <c r="P56" s="11">
        <f>GFA!K16</f>
        <v>1644.24</v>
      </c>
      <c r="Q56" s="11">
        <f>'Dep''n 23-27'!G18</f>
        <v>27.33</v>
      </c>
      <c r="R56" s="11">
        <f>'ROE Sheet'!Y58</f>
        <v>102.41</v>
      </c>
      <c r="S56" s="11">
        <f>'Int. on Loan 24-26'!E17</f>
        <v>48.64</v>
      </c>
      <c r="T56" s="11">
        <f t="shared" ca="1" si="44"/>
        <v>5.4</v>
      </c>
      <c r="U56" s="11">
        <f>'O&amp;M'!O19</f>
        <v>66.16</v>
      </c>
      <c r="V56" s="11">
        <f>'F8-NTI'!D17</f>
        <v>0.35</v>
      </c>
      <c r="W56" s="11">
        <f t="shared" ca="1" si="55"/>
        <v>249.59</v>
      </c>
      <c r="X56" s="11">
        <v>0</v>
      </c>
      <c r="Y56" s="11">
        <v>0</v>
      </c>
      <c r="Z56" s="11">
        <f t="shared" si="62"/>
        <v>0</v>
      </c>
      <c r="AA56" s="11">
        <f t="shared" si="63"/>
        <v>0</v>
      </c>
      <c r="AB56" s="11">
        <f t="shared" si="64"/>
        <v>0</v>
      </c>
      <c r="AC56" s="11">
        <v>0</v>
      </c>
      <c r="AD56" s="11">
        <f t="shared" ca="1" si="45"/>
        <v>249.59</v>
      </c>
      <c r="AE56" s="10"/>
    </row>
    <row r="57" spans="2:38" x14ac:dyDescent="0.25">
      <c r="B57" s="23">
        <v>14</v>
      </c>
      <c r="C57" s="10" t="s">
        <v>18</v>
      </c>
      <c r="D57" s="23">
        <v>120</v>
      </c>
      <c r="E57" s="11">
        <v>0</v>
      </c>
      <c r="F57" s="11"/>
      <c r="G57" s="11">
        <v>0</v>
      </c>
      <c r="H57" s="11">
        <f t="shared" si="49"/>
        <v>4.003333333333333</v>
      </c>
      <c r="I57" s="11">
        <f t="shared" si="50"/>
        <v>4.4076000000000004</v>
      </c>
      <c r="J57" s="11">
        <f t="shared" ca="1" si="61"/>
        <v>13.490136986301369</v>
      </c>
      <c r="K57" s="11"/>
      <c r="L57" s="11">
        <f t="shared" ca="1" si="53"/>
        <v>21.901070319634702</v>
      </c>
      <c r="M57" s="35">
        <f t="shared" si="54"/>
        <v>0.10249999999999999</v>
      </c>
      <c r="N57" s="11">
        <f t="shared" ca="1" si="60"/>
        <v>2.2400000000000002</v>
      </c>
      <c r="P57" s="11">
        <f>GFA!K17</f>
        <v>440.76000000000005</v>
      </c>
      <c r="Q57" s="11">
        <f>'Dep''n 23-27'!G19</f>
        <v>9.14</v>
      </c>
      <c r="R57" s="11">
        <f>'ROE Sheet'!Y59</f>
        <v>29.16</v>
      </c>
      <c r="S57" s="11">
        <f>'Int. on Loan 24-26'!E18</f>
        <v>21.11</v>
      </c>
      <c r="T57" s="11">
        <f t="shared" ca="1" si="44"/>
        <v>2.2400000000000002</v>
      </c>
      <c r="U57" s="11">
        <f>'O&amp;M'!O20</f>
        <v>48.04</v>
      </c>
      <c r="V57" s="11">
        <f>'F8-NTI'!D18</f>
        <v>0.27</v>
      </c>
      <c r="W57" s="11">
        <f t="shared" ca="1" si="55"/>
        <v>109.42</v>
      </c>
      <c r="X57" s="11">
        <v>0</v>
      </c>
      <c r="Y57" s="11">
        <v>0</v>
      </c>
      <c r="Z57" s="11">
        <f t="shared" si="62"/>
        <v>0</v>
      </c>
      <c r="AA57" s="11">
        <f t="shared" si="63"/>
        <v>0</v>
      </c>
      <c r="AB57" s="11">
        <f t="shared" si="64"/>
        <v>0</v>
      </c>
      <c r="AC57" s="11">
        <v>0</v>
      </c>
      <c r="AD57" s="11">
        <f t="shared" ca="1" si="45"/>
        <v>109.42</v>
      </c>
      <c r="AE57" s="10"/>
    </row>
    <row r="58" spans="2:38" x14ac:dyDescent="0.25">
      <c r="B58" s="21"/>
      <c r="C58" s="131" t="s">
        <v>19</v>
      </c>
      <c r="D58" s="131">
        <f t="shared" ref="D58:L58" si="65">SUM(D44:D57)</f>
        <v>6421.76</v>
      </c>
      <c r="E58" s="129">
        <f t="shared" si="65"/>
        <v>512.62531272000001</v>
      </c>
      <c r="F58" s="129">
        <f t="shared" si="65"/>
        <v>768.9379690799999</v>
      </c>
      <c r="G58" s="129">
        <f t="shared" si="65"/>
        <v>8.0576073000000008</v>
      </c>
      <c r="H58" s="129">
        <f t="shared" si="65"/>
        <v>246.595</v>
      </c>
      <c r="I58" s="129">
        <f t="shared" si="65"/>
        <v>320.72529805874001</v>
      </c>
      <c r="J58" s="129">
        <f t="shared" ca="1" si="65"/>
        <v>2007.3447344330136</v>
      </c>
      <c r="K58" s="129">
        <f t="shared" si="65"/>
        <v>776.99557637999999</v>
      </c>
      <c r="L58" s="129">
        <f t="shared" ca="1" si="65"/>
        <v>3087.290345211753</v>
      </c>
      <c r="M58" s="132" t="s">
        <v>66</v>
      </c>
      <c r="N58" s="129">
        <f ca="1">SUM(N44:N57)</f>
        <v>316.43999999999994</v>
      </c>
      <c r="O58" s="20"/>
      <c r="P58" s="129">
        <f>SUM(P44:P57)</f>
        <v>32072.529805873997</v>
      </c>
      <c r="Q58" s="129">
        <f>SUM(Q44:Q57)</f>
        <v>802.79000000000008</v>
      </c>
      <c r="R58" s="129">
        <f>SUM(R44:R57)</f>
        <v>2041.93</v>
      </c>
      <c r="S58" s="129">
        <f>SUM(S44:S57)</f>
        <v>793.74</v>
      </c>
      <c r="T58" s="129">
        <f t="shared" ca="1" si="44"/>
        <v>316.43999999999994</v>
      </c>
      <c r="U58" s="129">
        <f>SUM(U44:U57)</f>
        <v>2959.1400000000003</v>
      </c>
      <c r="V58" s="129">
        <f>SUM(V44:V57)</f>
        <v>85.689999999999984</v>
      </c>
      <c r="W58" s="129">
        <f ca="1">SUM(W44:W57)</f>
        <v>6828.35</v>
      </c>
      <c r="X58" s="130">
        <v>0</v>
      </c>
      <c r="Y58" s="130">
        <v>0</v>
      </c>
      <c r="Z58" s="130">
        <f t="shared" si="62"/>
        <v>0</v>
      </c>
      <c r="AA58" s="129">
        <f t="shared" ref="AA58:AD58" si="66">SUM(AA44:AA57)</f>
        <v>9355.4119571400006</v>
      </c>
      <c r="AB58" s="129">
        <f t="shared" si="66"/>
        <v>98.034222150000005</v>
      </c>
      <c r="AC58" s="39">
        <f t="shared" si="66"/>
        <v>9453.7989335400016</v>
      </c>
      <c r="AD58" s="39">
        <f t="shared" ca="1" si="66"/>
        <v>16282.14893354</v>
      </c>
      <c r="AE58" s="27"/>
    </row>
    <row r="59" spans="2:38" x14ac:dyDescent="0.25">
      <c r="L59" s="171"/>
    </row>
  </sheetData>
  <mergeCells count="3">
    <mergeCell ref="B2:K2"/>
    <mergeCell ref="B22:K22"/>
    <mergeCell ref="B41:K41"/>
  </mergeCells>
  <pageMargins left="0.45866141700000002" right="0.45866141700000002" top="0.74803149606299202" bottom="0.74803149606299202" header="0.31496062992126" footer="0.31496062992126"/>
  <pageSetup paperSize="9" scale="27" fitToHeight="0" orientation="landscape" r:id="rId1"/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3:AK198"/>
  <sheetViews>
    <sheetView topLeftCell="C1" workbookViewId="0">
      <selection activeCell="H196" sqref="H196:H198"/>
    </sheetView>
  </sheetViews>
  <sheetFormatPr defaultRowHeight="15" x14ac:dyDescent="0.25"/>
  <cols>
    <col min="2" max="6" width="13.140625" customWidth="1"/>
    <col min="7" max="15" width="12.7109375" customWidth="1"/>
    <col min="16" max="16" width="14.5703125" customWidth="1"/>
    <col min="18" max="18" width="11.42578125" customWidth="1"/>
    <col min="19" max="19" width="14" customWidth="1"/>
    <col min="20" max="20" width="12" customWidth="1"/>
    <col min="21" max="21" width="13.5703125" customWidth="1"/>
    <col min="23" max="23" width="12.140625" customWidth="1"/>
    <col min="24" max="24" width="11.28515625" customWidth="1"/>
    <col min="28" max="28" width="13.85546875" customWidth="1"/>
    <col min="34" max="34" width="11.7109375" customWidth="1"/>
  </cols>
  <sheetData>
    <row r="3" spans="2:37" ht="15.75" x14ac:dyDescent="0.25">
      <c r="B3" s="19"/>
      <c r="C3" s="20" t="s">
        <v>317</v>
      </c>
      <c r="D3" s="19"/>
      <c r="E3" s="19"/>
      <c r="F3" s="194"/>
      <c r="G3" s="19"/>
      <c r="H3" s="19"/>
      <c r="I3" s="19"/>
      <c r="J3" s="19"/>
      <c r="K3" s="19"/>
      <c r="L3" s="19"/>
    </row>
    <row r="4" spans="2:37" ht="15.75" x14ac:dyDescent="0.25">
      <c r="B4" s="19"/>
      <c r="C4" s="19"/>
      <c r="D4" s="486" t="s">
        <v>136</v>
      </c>
      <c r="E4" s="486"/>
      <c r="F4" s="486"/>
      <c r="G4" s="486" t="s">
        <v>137</v>
      </c>
      <c r="H4" s="486"/>
      <c r="I4" s="486"/>
      <c r="J4" s="486" t="s">
        <v>138</v>
      </c>
      <c r="K4" s="486"/>
      <c r="L4" s="486"/>
    </row>
    <row r="5" spans="2:37" ht="31.5" x14ac:dyDescent="0.25">
      <c r="B5" s="195" t="s">
        <v>318</v>
      </c>
      <c r="C5" s="196" t="s">
        <v>35</v>
      </c>
      <c r="D5" s="196" t="s">
        <v>67</v>
      </c>
      <c r="E5" s="196" t="s">
        <v>68</v>
      </c>
      <c r="F5" s="196" t="s">
        <v>19</v>
      </c>
      <c r="G5" s="196" t="s">
        <v>67</v>
      </c>
      <c r="H5" s="196" t="s">
        <v>68</v>
      </c>
      <c r="I5" s="196" t="s">
        <v>19</v>
      </c>
      <c r="J5" s="196" t="s">
        <v>67</v>
      </c>
      <c r="K5" s="196" t="s">
        <v>68</v>
      </c>
      <c r="L5" s="196" t="s">
        <v>19</v>
      </c>
    </row>
    <row r="6" spans="2:37" ht="15.75" x14ac:dyDescent="0.25">
      <c r="B6" s="197">
        <v>1</v>
      </c>
      <c r="C6" s="198" t="s">
        <v>4</v>
      </c>
      <c r="D6" s="280">
        <f>G92</f>
        <v>4.027026013949043</v>
      </c>
      <c r="E6" s="280">
        <f>G93</f>
        <v>4.3383709935325344E-2</v>
      </c>
      <c r="F6" s="281">
        <f>G94</f>
        <v>4.0704097238843682</v>
      </c>
      <c r="G6" s="281">
        <f t="shared" ref="G6:I11" si="0">N29</f>
        <v>4.0430000000000001</v>
      </c>
      <c r="H6" s="281">
        <f t="shared" si="0"/>
        <v>3.4000000000000002E-2</v>
      </c>
      <c r="I6" s="281">
        <f t="shared" si="0"/>
        <v>4.077</v>
      </c>
      <c r="J6" s="281">
        <f>N53</f>
        <v>3.702</v>
      </c>
      <c r="K6" s="281">
        <f t="shared" ref="K6:L6" si="1">O53</f>
        <v>3.5000000000000003E-2</v>
      </c>
      <c r="L6" s="281">
        <f t="shared" si="1"/>
        <v>3.7370000000000001</v>
      </c>
      <c r="S6" s="279"/>
      <c r="T6" s="279"/>
      <c r="U6" s="279"/>
      <c r="V6" s="174"/>
    </row>
    <row r="7" spans="2:37" ht="15.75" x14ac:dyDescent="0.25">
      <c r="B7" s="197">
        <v>2</v>
      </c>
      <c r="C7" s="198" t="s">
        <v>5</v>
      </c>
      <c r="D7" s="280">
        <f>G109</f>
        <v>3.8093550698727574</v>
      </c>
      <c r="E7" s="280">
        <f>G110</f>
        <v>8.3062696650625552E-3</v>
      </c>
      <c r="F7" s="281">
        <f>G111</f>
        <v>3.8176613395378198</v>
      </c>
      <c r="G7" s="281">
        <f t="shared" si="0"/>
        <v>4.05</v>
      </c>
      <c r="H7" s="281">
        <f t="shared" si="0"/>
        <v>3.3000000000000002E-2</v>
      </c>
      <c r="I7" s="281">
        <f t="shared" si="0"/>
        <v>4.0819999999999999</v>
      </c>
      <c r="J7" s="281">
        <f t="shared" ref="J7:J11" si="2">N54</f>
        <v>3.819</v>
      </c>
      <c r="K7" s="281">
        <f t="shared" ref="K7:K11" si="3">O54</f>
        <v>3.4000000000000002E-2</v>
      </c>
      <c r="L7" s="281">
        <f t="shared" ref="L7:L11" si="4">P54</f>
        <v>3.8530000000000002</v>
      </c>
      <c r="S7" s="279"/>
      <c r="T7" s="279"/>
      <c r="U7" s="279"/>
      <c r="V7" s="174"/>
    </row>
    <row r="8" spans="2:37" ht="15.75" x14ac:dyDescent="0.25">
      <c r="B8" s="197">
        <v>3</v>
      </c>
      <c r="C8" s="198" t="s">
        <v>6</v>
      </c>
      <c r="D8" s="280">
        <f>G126</f>
        <v>3.4400355029931786</v>
      </c>
      <c r="E8" s="280">
        <f>G127</f>
        <v>1.5578935741726325E-2</v>
      </c>
      <c r="F8" s="281">
        <f>G128</f>
        <v>3.455614438734905</v>
      </c>
      <c r="G8" s="281">
        <f t="shared" si="0"/>
        <v>3.464</v>
      </c>
      <c r="H8" s="281">
        <f t="shared" si="0"/>
        <v>3.4000000000000002E-2</v>
      </c>
      <c r="I8" s="281">
        <f t="shared" si="0"/>
        <v>3.4980000000000002</v>
      </c>
      <c r="J8" s="281">
        <f t="shared" si="2"/>
        <v>3.399</v>
      </c>
      <c r="K8" s="281">
        <f t="shared" si="3"/>
        <v>3.5000000000000003E-2</v>
      </c>
      <c r="L8" s="281">
        <f t="shared" si="4"/>
        <v>3.4340000000000002</v>
      </c>
      <c r="S8" s="279"/>
      <c r="T8" s="279"/>
      <c r="U8" s="279"/>
      <c r="V8" s="174"/>
    </row>
    <row r="9" spans="2:37" ht="15.75" x14ac:dyDescent="0.25">
      <c r="B9" s="197">
        <v>5</v>
      </c>
      <c r="C9" s="198" t="s">
        <v>8</v>
      </c>
      <c r="D9" s="280">
        <f>G143</f>
        <v>3.6734687619327002</v>
      </c>
      <c r="E9" s="280">
        <f>G144</f>
        <v>2.6465432565270681E-2</v>
      </c>
      <c r="F9" s="281">
        <f>G145</f>
        <v>3.6999341944979709</v>
      </c>
      <c r="G9" s="281">
        <f t="shared" si="0"/>
        <v>3.1440000000000001</v>
      </c>
      <c r="H9" s="281">
        <f t="shared" si="0"/>
        <v>3.5000000000000003E-2</v>
      </c>
      <c r="I9" s="281">
        <f t="shared" si="0"/>
        <v>3.18</v>
      </c>
      <c r="J9" s="281">
        <f t="shared" si="2"/>
        <v>2.883</v>
      </c>
      <c r="K9" s="281">
        <f t="shared" si="3"/>
        <v>3.6999999999999998E-2</v>
      </c>
      <c r="L9" s="281">
        <f t="shared" si="4"/>
        <v>2.9209999999999998</v>
      </c>
      <c r="S9" s="279"/>
      <c r="T9" s="279"/>
      <c r="U9" s="279"/>
      <c r="V9" s="174"/>
    </row>
    <row r="10" spans="2:37" ht="15.75" x14ac:dyDescent="0.25">
      <c r="B10" s="197">
        <v>6</v>
      </c>
      <c r="C10" s="198" t="s">
        <v>319</v>
      </c>
      <c r="D10" s="280">
        <f>G160</f>
        <v>3.7337116491508979</v>
      </c>
      <c r="E10" s="280">
        <f>G161</f>
        <v>1.6579590558947987E-2</v>
      </c>
      <c r="F10" s="280">
        <f>G162</f>
        <v>3.750291239709846</v>
      </c>
      <c r="G10" s="281">
        <f t="shared" si="0"/>
        <v>2.9470000000000001</v>
      </c>
      <c r="H10" s="281">
        <f t="shared" si="0"/>
        <v>3.5999999999999997E-2</v>
      </c>
      <c r="I10" s="281">
        <f t="shared" si="0"/>
        <v>2.9830000000000001</v>
      </c>
      <c r="J10" s="281">
        <f t="shared" si="2"/>
        <v>2.7</v>
      </c>
      <c r="K10" s="281">
        <f t="shared" si="3"/>
        <v>3.6999999999999998E-2</v>
      </c>
      <c r="L10" s="281">
        <f t="shared" si="4"/>
        <v>2.7370000000000001</v>
      </c>
      <c r="S10" s="279"/>
      <c r="T10" s="279"/>
      <c r="U10" s="279"/>
      <c r="V10" s="174"/>
    </row>
    <row r="11" spans="2:37" ht="15.75" x14ac:dyDescent="0.25">
      <c r="B11" s="197">
        <v>7</v>
      </c>
      <c r="C11" s="198" t="s">
        <v>10</v>
      </c>
      <c r="D11" s="280">
        <f>G177</f>
        <v>3.9367714973548185</v>
      </c>
      <c r="E11" s="280">
        <f>G178</f>
        <v>2.124087188086226E-2</v>
      </c>
      <c r="F11" s="281">
        <f>G179</f>
        <v>3.9580123692356808</v>
      </c>
      <c r="G11" s="281">
        <f t="shared" si="0"/>
        <v>3.7480000000000002</v>
      </c>
      <c r="H11" s="281">
        <f t="shared" si="0"/>
        <v>3.4000000000000002E-2</v>
      </c>
      <c r="I11" s="281">
        <f t="shared" si="0"/>
        <v>3.782</v>
      </c>
      <c r="J11" s="281">
        <f t="shared" si="2"/>
        <v>3.6419999999999999</v>
      </c>
      <c r="K11" s="281">
        <f t="shared" si="3"/>
        <v>3.5000000000000003E-2</v>
      </c>
      <c r="L11" s="281">
        <f t="shared" si="4"/>
        <v>3.677</v>
      </c>
      <c r="S11" s="279"/>
      <c r="T11" s="279"/>
      <c r="U11" s="279"/>
      <c r="V11" s="174"/>
    </row>
    <row r="13" spans="2:37" s="308" customFormat="1" ht="15.75" x14ac:dyDescent="0.25">
      <c r="B13" s="284" t="s">
        <v>35</v>
      </c>
      <c r="C13" s="489">
        <v>45748</v>
      </c>
      <c r="D13" s="490"/>
      <c r="E13" s="490"/>
      <c r="F13" s="490"/>
      <c r="G13" s="491"/>
      <c r="H13" s="489">
        <v>45778</v>
      </c>
      <c r="I13" s="490"/>
      <c r="J13" s="490"/>
      <c r="K13" s="490"/>
      <c r="L13" s="491"/>
      <c r="M13" s="489">
        <v>45809</v>
      </c>
      <c r="N13" s="490"/>
      <c r="O13" s="490"/>
      <c r="P13" s="490"/>
      <c r="Q13" s="491"/>
      <c r="R13" s="489">
        <v>45839</v>
      </c>
      <c r="S13" s="490"/>
      <c r="T13" s="490"/>
      <c r="U13" s="490"/>
      <c r="V13" s="491"/>
      <c r="W13" s="489">
        <v>45870</v>
      </c>
      <c r="X13" s="490"/>
      <c r="Y13" s="490"/>
      <c r="Z13" s="490"/>
      <c r="AA13" s="491"/>
      <c r="AB13" s="489">
        <v>45901</v>
      </c>
      <c r="AC13" s="490"/>
      <c r="AD13" s="490"/>
      <c r="AE13" s="490"/>
      <c r="AF13" s="491"/>
      <c r="AG13" s="346"/>
      <c r="AH13" s="347" t="s">
        <v>451</v>
      </c>
      <c r="AI13" s="346"/>
      <c r="AJ13" s="346" t="s">
        <v>454</v>
      </c>
      <c r="AK13" s="346"/>
    </row>
    <row r="14" spans="2:37" s="335" customFormat="1" ht="63" x14ac:dyDescent="0.25">
      <c r="B14" s="336"/>
      <c r="C14" s="337" t="s">
        <v>321</v>
      </c>
      <c r="D14" s="337" t="s">
        <v>322</v>
      </c>
      <c r="E14" s="338" t="s">
        <v>325</v>
      </c>
      <c r="F14" s="338" t="s">
        <v>326</v>
      </c>
      <c r="G14" s="337" t="s">
        <v>327</v>
      </c>
      <c r="H14" s="337" t="s">
        <v>321</v>
      </c>
      <c r="I14" s="337" t="s">
        <v>322</v>
      </c>
      <c r="J14" s="338" t="s">
        <v>325</v>
      </c>
      <c r="K14" s="338" t="s">
        <v>326</v>
      </c>
      <c r="L14" s="337" t="s">
        <v>327</v>
      </c>
      <c r="M14" s="337" t="s">
        <v>321</v>
      </c>
      <c r="N14" s="337" t="s">
        <v>322</v>
      </c>
      <c r="O14" s="338" t="s">
        <v>325</v>
      </c>
      <c r="P14" s="338" t="s">
        <v>326</v>
      </c>
      <c r="Q14" s="337" t="s">
        <v>327</v>
      </c>
      <c r="R14" s="337" t="s">
        <v>321</v>
      </c>
      <c r="S14" s="337" t="s">
        <v>322</v>
      </c>
      <c r="T14" s="338" t="s">
        <v>325</v>
      </c>
      <c r="U14" s="338" t="s">
        <v>326</v>
      </c>
      <c r="V14" s="337" t="s">
        <v>327</v>
      </c>
      <c r="W14" s="337" t="s">
        <v>321</v>
      </c>
      <c r="X14" s="337" t="s">
        <v>322</v>
      </c>
      <c r="Y14" s="338" t="s">
        <v>325</v>
      </c>
      <c r="Z14" s="338" t="s">
        <v>326</v>
      </c>
      <c r="AA14" s="337" t="s">
        <v>327</v>
      </c>
      <c r="AB14" s="337" t="s">
        <v>321</v>
      </c>
      <c r="AC14" s="337" t="s">
        <v>322</v>
      </c>
      <c r="AD14" s="338" t="s">
        <v>325</v>
      </c>
      <c r="AE14" s="338" t="s">
        <v>326</v>
      </c>
      <c r="AF14" s="337" t="s">
        <v>327</v>
      </c>
      <c r="AG14" s="339" t="s">
        <v>321</v>
      </c>
      <c r="AH14" s="339" t="s">
        <v>322</v>
      </c>
      <c r="AI14" s="340" t="s">
        <v>452</v>
      </c>
      <c r="AJ14" s="340" t="s">
        <v>453</v>
      </c>
      <c r="AK14" s="339" t="s">
        <v>322</v>
      </c>
    </row>
    <row r="15" spans="2:37" s="335" customFormat="1" ht="15.75" x14ac:dyDescent="0.25">
      <c r="B15" s="341"/>
      <c r="C15" s="342" t="s">
        <v>323</v>
      </c>
      <c r="D15" s="342" t="s">
        <v>324</v>
      </c>
      <c r="E15" s="341" t="s">
        <v>328</v>
      </c>
      <c r="F15" s="341" t="s">
        <v>414</v>
      </c>
      <c r="G15" s="342" t="s">
        <v>329</v>
      </c>
      <c r="H15" s="342" t="s">
        <v>323</v>
      </c>
      <c r="I15" s="342" t="s">
        <v>324</v>
      </c>
      <c r="J15" s="341" t="s">
        <v>328</v>
      </c>
      <c r="K15" s="341" t="s">
        <v>414</v>
      </c>
      <c r="L15" s="342" t="s">
        <v>329</v>
      </c>
      <c r="M15" s="342" t="s">
        <v>323</v>
      </c>
      <c r="N15" s="342" t="s">
        <v>324</v>
      </c>
      <c r="O15" s="341" t="s">
        <v>328</v>
      </c>
      <c r="P15" s="341" t="s">
        <v>414</v>
      </c>
      <c r="Q15" s="342" t="s">
        <v>329</v>
      </c>
      <c r="R15" s="342" t="s">
        <v>323</v>
      </c>
      <c r="S15" s="342" t="s">
        <v>324</v>
      </c>
      <c r="T15" s="341" t="s">
        <v>328</v>
      </c>
      <c r="U15" s="341" t="s">
        <v>414</v>
      </c>
      <c r="V15" s="342" t="s">
        <v>329</v>
      </c>
      <c r="W15" s="342" t="s">
        <v>323</v>
      </c>
      <c r="X15" s="342" t="s">
        <v>324</v>
      </c>
      <c r="Y15" s="341" t="s">
        <v>328</v>
      </c>
      <c r="Z15" s="341" t="s">
        <v>414</v>
      </c>
      <c r="AA15" s="342" t="s">
        <v>329</v>
      </c>
      <c r="AB15" s="342" t="s">
        <v>323</v>
      </c>
      <c r="AC15" s="342" t="s">
        <v>324</v>
      </c>
      <c r="AD15" s="341" t="s">
        <v>328</v>
      </c>
      <c r="AE15" s="341" t="s">
        <v>414</v>
      </c>
      <c r="AF15" s="342" t="s">
        <v>329</v>
      </c>
      <c r="AG15" s="343" t="s">
        <v>323</v>
      </c>
      <c r="AH15" s="343" t="s">
        <v>324</v>
      </c>
      <c r="AI15" s="344"/>
      <c r="AJ15" s="345"/>
      <c r="AK15" s="343" t="s">
        <v>324</v>
      </c>
    </row>
    <row r="16" spans="2:37" s="308" customFormat="1" ht="15.75" x14ac:dyDescent="0.25">
      <c r="B16" s="284" t="s">
        <v>4</v>
      </c>
      <c r="C16" s="256">
        <f>3708.68+600</f>
        <v>4308.68</v>
      </c>
      <c r="D16" s="256">
        <f>63984.12+600</f>
        <v>64584.12</v>
      </c>
      <c r="E16" s="284">
        <v>2800</v>
      </c>
      <c r="F16" s="284">
        <v>236520</v>
      </c>
      <c r="G16" s="348">
        <v>40.36</v>
      </c>
      <c r="H16" s="256">
        <f>3649.5+600</f>
        <v>4249.5</v>
      </c>
      <c r="I16" s="256">
        <f>62086.87+600</f>
        <v>62686.87</v>
      </c>
      <c r="J16" s="284">
        <v>2468</v>
      </c>
      <c r="K16" s="284">
        <v>256260</v>
      </c>
      <c r="L16" s="348">
        <v>47.28</v>
      </c>
      <c r="M16" s="328">
        <f>3704.61+600</f>
        <v>4304.6100000000006</v>
      </c>
      <c r="N16" s="329">
        <f>61721.32+600</f>
        <v>62321.32</v>
      </c>
      <c r="O16" s="284">
        <v>2651</v>
      </c>
      <c r="P16" s="284">
        <v>120610</v>
      </c>
      <c r="Q16" s="349">
        <v>373.06</v>
      </c>
      <c r="R16" s="329">
        <f>3748.71+600</f>
        <v>4348.71</v>
      </c>
      <c r="S16" s="329">
        <v>62385.1</v>
      </c>
      <c r="T16" s="284">
        <v>2968</v>
      </c>
      <c r="U16" s="284">
        <v>174140</v>
      </c>
      <c r="V16" s="329">
        <v>230.89</v>
      </c>
      <c r="W16" s="329">
        <f>3727.84+600</f>
        <v>4327.84</v>
      </c>
      <c r="X16" s="329">
        <v>62565.82</v>
      </c>
      <c r="Y16" s="284">
        <v>2807</v>
      </c>
      <c r="Z16" s="284">
        <v>162210</v>
      </c>
      <c r="AA16" s="329">
        <v>204.2</v>
      </c>
      <c r="AB16" s="284">
        <f>3396.25+600</f>
        <v>3996.25</v>
      </c>
      <c r="AC16" s="284">
        <f>61321.06+600</f>
        <v>61921.06</v>
      </c>
      <c r="AD16" s="284">
        <v>2568</v>
      </c>
      <c r="AE16" s="284">
        <v>182860</v>
      </c>
      <c r="AF16" s="350">
        <v>93.74</v>
      </c>
      <c r="AG16" s="330">
        <f>(M16*P16+R16*U16+W16*Z16)/(P16+U16+Z16)</f>
        <v>4329.6618914128157</v>
      </c>
      <c r="AH16" s="330">
        <f>(N16*Q16+S16*V16+X16*AA16)/(Q16+V16+AA16)</f>
        <v>62401.321316834728</v>
      </c>
      <c r="AI16" s="331">
        <f>(O16*P16+T16*U16+Y16*Z16)/(P16+U16+Z16)</f>
        <v>2827.1798406862745</v>
      </c>
      <c r="AJ16" s="334">
        <f>(AG16-600)*1.02</f>
        <v>3804.2551292410722</v>
      </c>
      <c r="AK16" s="256">
        <f>AH16*1.02</f>
        <v>63649.347743171427</v>
      </c>
    </row>
    <row r="17" spans="1:37" s="308" customFormat="1" ht="15.75" x14ac:dyDescent="0.25">
      <c r="B17" s="284" t="s">
        <v>5</v>
      </c>
      <c r="C17" s="256">
        <f>5051.76+600</f>
        <v>5651.76</v>
      </c>
      <c r="D17" s="256">
        <f>63984.12+600</f>
        <v>64584.12</v>
      </c>
      <c r="E17" s="284">
        <v>3718</v>
      </c>
      <c r="F17" s="284">
        <v>160406</v>
      </c>
      <c r="G17" s="348">
        <v>6.28</v>
      </c>
      <c r="H17" s="256">
        <f>5020.67+600</f>
        <v>5620.67</v>
      </c>
      <c r="I17" s="256">
        <f>600+62086.87</f>
        <v>62686.87</v>
      </c>
      <c r="J17" s="284">
        <v>2815</v>
      </c>
      <c r="K17" s="284">
        <v>124890</v>
      </c>
      <c r="L17" s="348">
        <v>50.22</v>
      </c>
      <c r="M17" s="328">
        <f>5469.97+600</f>
        <v>6069.97</v>
      </c>
      <c r="N17" s="329">
        <f>61721.32+600</f>
        <v>62321.32</v>
      </c>
      <c r="O17" s="284">
        <v>3585</v>
      </c>
      <c r="P17" s="284">
        <v>117430</v>
      </c>
      <c r="Q17" s="349">
        <v>324.26</v>
      </c>
      <c r="R17" s="329">
        <f>5091.07+600</f>
        <v>5691.07</v>
      </c>
      <c r="S17" s="329">
        <v>62385.1</v>
      </c>
      <c r="T17" s="284">
        <v>3800</v>
      </c>
      <c r="U17" s="284">
        <v>92700</v>
      </c>
      <c r="V17" s="329">
        <v>96.56</v>
      </c>
      <c r="W17" s="329">
        <f>4914.3+600</f>
        <v>5514.3</v>
      </c>
      <c r="X17" s="329">
        <v>62565.82</v>
      </c>
      <c r="Y17" s="284">
        <v>3315</v>
      </c>
      <c r="Z17" s="284">
        <v>74530</v>
      </c>
      <c r="AA17" s="329">
        <v>253.37</v>
      </c>
      <c r="AB17" s="284">
        <f>4720.3+600</f>
        <v>5320.3</v>
      </c>
      <c r="AC17" s="284">
        <f>600+61321.06</f>
        <v>61921.06</v>
      </c>
      <c r="AD17" s="284">
        <v>3183</v>
      </c>
      <c r="AE17" s="284">
        <v>126101</v>
      </c>
      <c r="AF17" s="350">
        <v>157.16999999999999</v>
      </c>
      <c r="AG17" s="330">
        <f t="shared" ref="AG17:AG21" si="5">(M17*P17+R17*U17+W17*Z17)/(P17+U17+Z17)</f>
        <v>5801.0944463570568</v>
      </c>
      <c r="AH17" s="330">
        <f t="shared" ref="AH17:AH21" si="6">(N17*Q17+S17*V17+X17*AA17)/(Q17+V17+AA17)</f>
        <v>62422.341317136124</v>
      </c>
      <c r="AI17" s="331">
        <f t="shared" ref="AI17:AI21" si="7">(O17*P17+T17*U17+Y17*Z17)/(P17+U17+Z17)</f>
        <v>3584.3234033583926</v>
      </c>
      <c r="AJ17" s="334">
        <f t="shared" ref="AJ17:AJ21" si="8">(AG17-600)*1.02</f>
        <v>5305.1163352841977</v>
      </c>
      <c r="AK17" s="256">
        <f t="shared" ref="AK17:AK21" si="9">AH17*1.02</f>
        <v>63670.788143478851</v>
      </c>
    </row>
    <row r="18" spans="1:37" s="308" customFormat="1" ht="15.75" x14ac:dyDescent="0.25">
      <c r="B18" s="284" t="s">
        <v>6</v>
      </c>
      <c r="C18" s="256">
        <f>5147.06+600</f>
        <v>5747.06</v>
      </c>
      <c r="D18" s="256">
        <f>59723.52+600</f>
        <v>60323.519999999997</v>
      </c>
      <c r="E18" s="284">
        <v>3830</v>
      </c>
      <c r="F18" s="284">
        <v>250973.6</v>
      </c>
      <c r="G18" s="351">
        <v>14.39</v>
      </c>
      <c r="H18" s="256">
        <f>5069.97+600</f>
        <v>5669.97</v>
      </c>
      <c r="I18" s="256">
        <f>600+59723.52</f>
        <v>60323.519999999997</v>
      </c>
      <c r="J18" s="284">
        <v>3351</v>
      </c>
      <c r="K18" s="284">
        <v>246941.5</v>
      </c>
      <c r="L18" s="351">
        <v>0.36</v>
      </c>
      <c r="M18" s="332">
        <f>5425.02+600</f>
        <v>6025.02</v>
      </c>
      <c r="N18" s="333">
        <f>59723.52+600</f>
        <v>60323.519999999997</v>
      </c>
      <c r="O18" s="284">
        <v>3820</v>
      </c>
      <c r="P18" s="284">
        <v>174830.3</v>
      </c>
      <c r="Q18" s="352">
        <v>1.28</v>
      </c>
      <c r="R18" s="333">
        <f>5340.3+600</f>
        <v>5940.3</v>
      </c>
      <c r="S18" s="333">
        <v>65402.94</v>
      </c>
      <c r="T18" s="284">
        <v>3619</v>
      </c>
      <c r="U18" s="284">
        <v>83648.22</v>
      </c>
      <c r="V18" s="333">
        <v>656.63</v>
      </c>
      <c r="W18" s="333">
        <f>5245.69+600</f>
        <v>5845.69</v>
      </c>
      <c r="X18" s="333">
        <v>63153.47</v>
      </c>
      <c r="Y18" s="284">
        <v>3462</v>
      </c>
      <c r="Z18" s="284">
        <v>214512</v>
      </c>
      <c r="AA18" s="333">
        <v>345.64</v>
      </c>
      <c r="AB18" s="284">
        <f>4545.8+600</f>
        <v>5145.8</v>
      </c>
      <c r="AC18" s="284">
        <f>600+62342.36</f>
        <v>62942.36</v>
      </c>
      <c r="AD18" s="284">
        <v>3296</v>
      </c>
      <c r="AE18" s="284">
        <v>236430.8</v>
      </c>
      <c r="AF18" s="350">
        <v>167.85</v>
      </c>
      <c r="AG18" s="330">
        <f t="shared" si="5"/>
        <v>5928.7070460777941</v>
      </c>
      <c r="AH18" s="330">
        <f t="shared" si="6"/>
        <v>64621.704916147683</v>
      </c>
      <c r="AI18" s="331">
        <f t="shared" si="7"/>
        <v>3622.0920414641714</v>
      </c>
      <c r="AJ18" s="334">
        <f t="shared" si="8"/>
        <v>5435.2811869993502</v>
      </c>
      <c r="AK18" s="256">
        <f t="shared" si="9"/>
        <v>65914.139014470638</v>
      </c>
    </row>
    <row r="19" spans="1:37" s="308" customFormat="1" ht="15.75" x14ac:dyDescent="0.25">
      <c r="B19" s="284" t="s">
        <v>8</v>
      </c>
      <c r="C19" s="256">
        <f>4849.27+600</f>
        <v>5449.27</v>
      </c>
      <c r="D19" s="256">
        <f>600+70159.98</f>
        <v>70759.98</v>
      </c>
      <c r="E19" s="284">
        <v>3905</v>
      </c>
      <c r="F19" s="284">
        <v>161781</v>
      </c>
      <c r="G19" s="348">
        <v>6.29</v>
      </c>
      <c r="H19" s="256">
        <f>4633.91+600</f>
        <v>5233.91</v>
      </c>
      <c r="I19" s="256">
        <f>600+65234.23</f>
        <v>65834.23000000001</v>
      </c>
      <c r="J19" s="284">
        <v>3799</v>
      </c>
      <c r="K19" s="284">
        <v>132432</v>
      </c>
      <c r="L19" s="348">
        <v>246.19</v>
      </c>
      <c r="M19" s="328">
        <f>4591.66+600</f>
        <v>5191.66</v>
      </c>
      <c r="N19" s="329">
        <v>68063.899999999994</v>
      </c>
      <c r="O19" s="284">
        <v>4458.75</v>
      </c>
      <c r="P19" s="284">
        <v>153270</v>
      </c>
      <c r="Q19" s="349">
        <v>3.14</v>
      </c>
      <c r="R19" s="329">
        <f>4672.72+600</f>
        <v>5272.72</v>
      </c>
      <c r="S19" s="329">
        <v>70145.59</v>
      </c>
      <c r="T19" s="284">
        <v>4318</v>
      </c>
      <c r="U19" s="284">
        <v>151761</v>
      </c>
      <c r="V19" s="329">
        <v>127.54</v>
      </c>
      <c r="W19" s="329">
        <f>4600.83+600</f>
        <v>5200.83</v>
      </c>
      <c r="X19" s="329">
        <v>68577.69</v>
      </c>
      <c r="Y19" s="284">
        <v>3910</v>
      </c>
      <c r="Z19" s="284">
        <v>167172</v>
      </c>
      <c r="AA19" s="329">
        <v>59.71</v>
      </c>
      <c r="AB19" s="284">
        <f>4417.25+600</f>
        <v>5017.25</v>
      </c>
      <c r="AC19" s="284">
        <f>600+64390.13</f>
        <v>64990.13</v>
      </c>
      <c r="AD19" s="284">
        <v>4100</v>
      </c>
      <c r="AE19" s="284">
        <v>160438</v>
      </c>
      <c r="AF19" s="350">
        <v>51</v>
      </c>
      <c r="AG19" s="330">
        <f t="shared" si="5"/>
        <v>5220.9582338104592</v>
      </c>
      <c r="AH19" s="330">
        <f t="shared" si="6"/>
        <v>69619.533927727287</v>
      </c>
      <c r="AI19" s="331">
        <f t="shared" si="7"/>
        <v>4219.2428478853371</v>
      </c>
      <c r="AJ19" s="334">
        <f t="shared" si="8"/>
        <v>4713.3773984866684</v>
      </c>
      <c r="AK19" s="256">
        <f t="shared" si="9"/>
        <v>71011.924606281827</v>
      </c>
    </row>
    <row r="20" spans="1:37" s="308" customFormat="1" ht="15.75" x14ac:dyDescent="0.25">
      <c r="B20" s="284" t="s">
        <v>319</v>
      </c>
      <c r="C20" s="256">
        <f>4849.27+600</f>
        <v>5449.27</v>
      </c>
      <c r="D20" s="256">
        <f>600+70159.98</f>
        <v>70759.98</v>
      </c>
      <c r="E20" s="284">
        <v>3912</v>
      </c>
      <c r="F20" s="284">
        <v>187610</v>
      </c>
      <c r="G20" s="348">
        <v>107.4</v>
      </c>
      <c r="H20" s="256">
        <f>4633.91+600</f>
        <v>5233.91</v>
      </c>
      <c r="I20" s="256">
        <f>600+65234.23</f>
        <v>65834.23000000001</v>
      </c>
      <c r="J20" s="284">
        <v>3789</v>
      </c>
      <c r="K20" s="284">
        <v>204822</v>
      </c>
      <c r="L20" s="348">
        <v>63.41</v>
      </c>
      <c r="M20" s="328">
        <f>4591.66+600</f>
        <v>5191.66</v>
      </c>
      <c r="N20" s="329">
        <v>68063.899999999994</v>
      </c>
      <c r="O20" s="284">
        <v>4458.75</v>
      </c>
      <c r="P20" s="284">
        <v>199504</v>
      </c>
      <c r="Q20" s="349">
        <v>19.329999999999998</v>
      </c>
      <c r="R20" s="329">
        <f>4672.72+600</f>
        <v>5272.72</v>
      </c>
      <c r="S20" s="329">
        <v>70145.59</v>
      </c>
      <c r="T20" s="284">
        <v>4318</v>
      </c>
      <c r="U20" s="284">
        <v>224748</v>
      </c>
      <c r="V20" s="329">
        <v>0</v>
      </c>
      <c r="W20" s="329">
        <f>4600.83+600</f>
        <v>5200.83</v>
      </c>
      <c r="X20" s="329">
        <v>68577.69</v>
      </c>
      <c r="Y20" s="284">
        <v>3910</v>
      </c>
      <c r="Z20" s="284">
        <v>200885</v>
      </c>
      <c r="AA20" s="329">
        <v>116.87</v>
      </c>
      <c r="AB20" s="284">
        <f>4417.25+600</f>
        <v>5017.25</v>
      </c>
      <c r="AC20" s="284">
        <f>600+64390.13</f>
        <v>64990.13</v>
      </c>
      <c r="AD20" s="284">
        <v>4100</v>
      </c>
      <c r="AE20" s="284">
        <v>196566</v>
      </c>
      <c r="AF20" s="350">
        <v>39.020000000000003</v>
      </c>
      <c r="AG20" s="330">
        <f t="shared" si="5"/>
        <v>5223.7492673605948</v>
      </c>
      <c r="AH20" s="330">
        <f t="shared" si="6"/>
        <v>68504.771052129217</v>
      </c>
      <c r="AI20" s="331">
        <f t="shared" si="7"/>
        <v>4231.8094657651045</v>
      </c>
      <c r="AJ20" s="334">
        <f t="shared" si="8"/>
        <v>4716.224252707807</v>
      </c>
      <c r="AK20" s="256">
        <f t="shared" si="9"/>
        <v>69874.866473171802</v>
      </c>
    </row>
    <row r="21" spans="1:37" s="308" customFormat="1" ht="15.75" x14ac:dyDescent="0.25">
      <c r="B21" s="284" t="s">
        <v>10</v>
      </c>
      <c r="C21" s="256">
        <f>4595.06+600</f>
        <v>5195.0600000000004</v>
      </c>
      <c r="D21" s="256">
        <f>600+61638.77</f>
        <v>62238.77</v>
      </c>
      <c r="E21" s="284">
        <v>3582</v>
      </c>
      <c r="F21" s="284">
        <v>351201</v>
      </c>
      <c r="G21" s="348">
        <v>475</v>
      </c>
      <c r="H21" s="256">
        <f>4646.16+600</f>
        <v>5246.16</v>
      </c>
      <c r="I21" s="256">
        <f>600+58491.87</f>
        <v>59091.87</v>
      </c>
      <c r="J21" s="284">
        <v>3221</v>
      </c>
      <c r="K21" s="284">
        <v>402879</v>
      </c>
      <c r="L21" s="348">
        <v>47</v>
      </c>
      <c r="M21" s="328">
        <f>4944.17+600</f>
        <v>5544.17</v>
      </c>
      <c r="N21" s="329">
        <v>65060.45</v>
      </c>
      <c r="O21" s="284">
        <v>3607</v>
      </c>
      <c r="P21" s="284">
        <v>361249</v>
      </c>
      <c r="Q21" s="349">
        <v>100</v>
      </c>
      <c r="R21" s="329">
        <f>4442.81+600</f>
        <v>5042.8100000000004</v>
      </c>
      <c r="S21" s="329">
        <v>62086.45</v>
      </c>
      <c r="T21" s="284">
        <v>3024</v>
      </c>
      <c r="U21" s="284">
        <v>327642</v>
      </c>
      <c r="V21" s="329">
        <v>265</v>
      </c>
      <c r="W21" s="329">
        <f>4371.83+600</f>
        <v>4971.83</v>
      </c>
      <c r="X21" s="329">
        <v>61566.9</v>
      </c>
      <c r="Y21" s="284">
        <v>3100</v>
      </c>
      <c r="Z21" s="284">
        <v>380388</v>
      </c>
      <c r="AA21" s="329">
        <v>308</v>
      </c>
      <c r="AB21" s="284">
        <f>4032.9+600</f>
        <v>4632.8999999999996</v>
      </c>
      <c r="AC21" s="284">
        <f>600+62068.95</f>
        <v>62668.95</v>
      </c>
      <c r="AD21" s="284">
        <v>3207</v>
      </c>
      <c r="AE21" s="284">
        <v>285612</v>
      </c>
      <c r="AF21" s="350">
        <v>216</v>
      </c>
      <c r="AG21" s="330">
        <f t="shared" si="5"/>
        <v>5186.9406323232761</v>
      </c>
      <c r="AH21" s="330">
        <f t="shared" si="6"/>
        <v>62290.578677563157</v>
      </c>
      <c r="AI21" s="331">
        <f t="shared" si="7"/>
        <v>3247.9992134887152</v>
      </c>
      <c r="AJ21" s="334">
        <f t="shared" si="8"/>
        <v>4678.6794449697418</v>
      </c>
      <c r="AK21" s="256">
        <f t="shared" si="9"/>
        <v>63536.390251114419</v>
      </c>
    </row>
    <row r="23" spans="1:37" x14ac:dyDescent="0.25">
      <c r="C23" t="s">
        <v>450</v>
      </c>
    </row>
    <row r="24" spans="1:37" s="308" customFormat="1" x14ac:dyDescent="0.25">
      <c r="C24" s="309" t="s">
        <v>418</v>
      </c>
    </row>
    <row r="25" spans="1:37" ht="31.5" x14ac:dyDescent="0.25">
      <c r="C25" s="296" t="s">
        <v>415</v>
      </c>
      <c r="D25" s="296" t="s">
        <v>419</v>
      </c>
    </row>
    <row r="26" spans="1:37" s="203" customFormat="1" ht="42.75" customHeight="1" x14ac:dyDescent="0.25">
      <c r="G26" s="103" t="s">
        <v>363</v>
      </c>
      <c r="J26" s="204" t="s">
        <v>364</v>
      </c>
      <c r="K26" s="204" t="s">
        <v>365</v>
      </c>
      <c r="L26" s="204" t="s">
        <v>366</v>
      </c>
      <c r="M26" s="204" t="s">
        <v>367</v>
      </c>
    </row>
    <row r="27" spans="1:37" s="203" customFormat="1" ht="39.75" customHeight="1" x14ac:dyDescent="0.25">
      <c r="A27" s="103"/>
      <c r="B27" s="204"/>
      <c r="C27" s="204" t="s">
        <v>368</v>
      </c>
      <c r="D27" s="204" t="s">
        <v>335</v>
      </c>
      <c r="E27" s="204" t="s">
        <v>369</v>
      </c>
      <c r="F27" s="205" t="s">
        <v>370</v>
      </c>
      <c r="G27" s="103" t="s">
        <v>371</v>
      </c>
      <c r="H27" s="206" t="s">
        <v>372</v>
      </c>
      <c r="I27" s="204" t="s">
        <v>68</v>
      </c>
      <c r="J27" s="207" t="s">
        <v>373</v>
      </c>
      <c r="K27" s="208" t="s">
        <v>374</v>
      </c>
      <c r="L27" s="209" t="s">
        <v>374</v>
      </c>
      <c r="M27" s="207" t="s">
        <v>374</v>
      </c>
    </row>
    <row r="28" spans="1:37" s="218" customFormat="1" ht="20.25" customHeight="1" x14ac:dyDescent="0.2">
      <c r="A28" s="210" t="s">
        <v>375</v>
      </c>
      <c r="B28" s="211" t="s">
        <v>21</v>
      </c>
      <c r="C28" s="212" t="s">
        <v>376</v>
      </c>
      <c r="D28" s="212" t="s">
        <v>377</v>
      </c>
      <c r="E28" s="213" t="s">
        <v>378</v>
      </c>
      <c r="F28" s="214" t="s">
        <v>379</v>
      </c>
      <c r="G28" s="215" t="s">
        <v>380</v>
      </c>
      <c r="H28" s="212" t="s">
        <v>381</v>
      </c>
      <c r="I28" s="213" t="s">
        <v>382</v>
      </c>
      <c r="J28" s="211" t="s">
        <v>383</v>
      </c>
      <c r="K28" s="216" t="s">
        <v>384</v>
      </c>
      <c r="L28" s="217" t="s">
        <v>385</v>
      </c>
      <c r="M28" s="211" t="s">
        <v>386</v>
      </c>
    </row>
    <row r="29" spans="1:37" s="19" customFormat="1" ht="20.25" customHeight="1" x14ac:dyDescent="0.25">
      <c r="A29" s="493" t="s">
        <v>420</v>
      </c>
      <c r="B29" s="267" t="s">
        <v>4</v>
      </c>
      <c r="C29" s="219">
        <v>2500</v>
      </c>
      <c r="D29" s="220">
        <v>9.3000000000000007</v>
      </c>
      <c r="E29" s="219">
        <v>0.5</v>
      </c>
      <c r="F29" s="221">
        <v>9819</v>
      </c>
      <c r="G29" s="222">
        <f t="shared" ref="G29:G34" si="10">G40</f>
        <v>2723.4967254195885</v>
      </c>
      <c r="H29" s="223">
        <f t="shared" ref="H29:H34" si="11">AVERAGE(H40,H40-600)</f>
        <v>4002.8072540905932</v>
      </c>
      <c r="I29" s="224">
        <f t="shared" ref="I29:I34" si="12">I40</f>
        <v>61914.739078355415</v>
      </c>
      <c r="J29" s="307">
        <f>(C29-E29*F29/1000)/G29</f>
        <v>0.91613493664678447</v>
      </c>
      <c r="K29" s="225">
        <f>J29*H29*10/(100-D29)</f>
        <v>404.31219075364658</v>
      </c>
      <c r="L29" s="226">
        <f>E29*I29/((100-D29)*100)</f>
        <v>3.4131609194242234</v>
      </c>
      <c r="M29" s="226">
        <f t="shared" ref="M29:M34" si="13">K29+L29</f>
        <v>407.7253516730708</v>
      </c>
      <c r="N29" s="27">
        <f>ROUND(K29/100,3)</f>
        <v>4.0430000000000001</v>
      </c>
      <c r="O29" s="27">
        <f t="shared" ref="O29:P34" si="14">ROUND(L29/100,3)</f>
        <v>3.4000000000000002E-2</v>
      </c>
      <c r="P29" s="27">
        <f t="shared" si="14"/>
        <v>4.077</v>
      </c>
    </row>
    <row r="30" spans="1:37" s="19" customFormat="1" ht="20.25" customHeight="1" x14ac:dyDescent="0.25">
      <c r="A30" s="494"/>
      <c r="B30" s="267" t="s">
        <v>5</v>
      </c>
      <c r="C30" s="219">
        <v>2450</v>
      </c>
      <c r="D30" s="220">
        <v>5.25</v>
      </c>
      <c r="E30" s="219">
        <v>0.5</v>
      </c>
      <c r="F30" s="221">
        <v>9819</v>
      </c>
      <c r="G30" s="222">
        <f t="shared" si="10"/>
        <v>3453.3689583055534</v>
      </c>
      <c r="H30" s="223">
        <f t="shared" si="11"/>
        <v>5419.53139533578</v>
      </c>
      <c r="I30" s="224">
        <f t="shared" si="12"/>
        <v>61859.101914081213</v>
      </c>
      <c r="J30" s="307">
        <f t="shared" ref="J30:J34" si="15">(C30-E30*F30/1000)/G30</f>
        <v>0.70803048545375225</v>
      </c>
      <c r="K30" s="225">
        <f t="shared" ref="K30:K34" si="16">J30*H30*10/(100-D30)</f>
        <v>404.98083849830539</v>
      </c>
      <c r="L30" s="226">
        <f t="shared" ref="L30:L34" si="17">E30*I30/((100-D30)*100)</f>
        <v>3.2643325548327815</v>
      </c>
      <c r="M30" s="226">
        <f t="shared" si="13"/>
        <v>408.24517105313817</v>
      </c>
      <c r="N30" s="27">
        <f t="shared" ref="N30:N34" si="18">ROUND(K30/100,3)</f>
        <v>4.05</v>
      </c>
      <c r="O30" s="27">
        <f t="shared" si="14"/>
        <v>3.3000000000000002E-2</v>
      </c>
      <c r="P30" s="27">
        <f t="shared" si="14"/>
        <v>4.0819999999999999</v>
      </c>
    </row>
    <row r="31" spans="1:37" s="19" customFormat="1" ht="20.25" customHeight="1" x14ac:dyDescent="0.25">
      <c r="A31" s="494"/>
      <c r="B31" s="267" t="s">
        <v>6</v>
      </c>
      <c r="C31" s="220">
        <v>2151</v>
      </c>
      <c r="D31" s="220">
        <v>5.25</v>
      </c>
      <c r="E31" s="219">
        <v>0.5</v>
      </c>
      <c r="F31" s="221">
        <v>9819</v>
      </c>
      <c r="G31" s="222">
        <f t="shared" si="10"/>
        <v>3606.8851395463134</v>
      </c>
      <c r="H31" s="223">
        <f t="shared" si="11"/>
        <v>5515.9447702269972</v>
      </c>
      <c r="I31" s="224">
        <f t="shared" si="12"/>
        <v>63959.446026318386</v>
      </c>
      <c r="J31" s="307">
        <f t="shared" si="15"/>
        <v>0.59499829270137017</v>
      </c>
      <c r="K31" s="225">
        <f t="shared" si="16"/>
        <v>346.38287292032868</v>
      </c>
      <c r="L31" s="226">
        <f t="shared" si="17"/>
        <v>3.375168655742395</v>
      </c>
      <c r="M31" s="226">
        <f t="shared" si="13"/>
        <v>349.75804157607109</v>
      </c>
      <c r="N31" s="27">
        <f t="shared" si="18"/>
        <v>3.464</v>
      </c>
      <c r="O31" s="27">
        <f t="shared" si="14"/>
        <v>3.4000000000000002E-2</v>
      </c>
      <c r="P31" s="27">
        <f t="shared" si="14"/>
        <v>3.4980000000000002</v>
      </c>
    </row>
    <row r="32" spans="1:37" s="19" customFormat="1" ht="20.25" customHeight="1" x14ac:dyDescent="0.25">
      <c r="A32" s="494"/>
      <c r="B32" s="267" t="s">
        <v>387</v>
      </c>
      <c r="C32" s="219">
        <v>2450</v>
      </c>
      <c r="D32" s="220">
        <v>5.25</v>
      </c>
      <c r="E32" s="219">
        <v>0.5</v>
      </c>
      <c r="F32" s="221">
        <v>9390</v>
      </c>
      <c r="G32" s="222">
        <f t="shared" si="10"/>
        <v>4080.2946487286276</v>
      </c>
      <c r="H32" s="223">
        <f t="shared" si="11"/>
        <v>4971.3900282222712</v>
      </c>
      <c r="I32" s="224">
        <f t="shared" si="12"/>
        <v>66931.493265292302</v>
      </c>
      <c r="J32" s="307">
        <f t="shared" si="15"/>
        <v>0.59929618091721104</v>
      </c>
      <c r="K32" s="225">
        <f t="shared" si="16"/>
        <v>314.4416947507666</v>
      </c>
      <c r="L32" s="226">
        <f t="shared" si="17"/>
        <v>3.5320049216513087</v>
      </c>
      <c r="M32" s="226">
        <f t="shared" si="13"/>
        <v>317.97369967241792</v>
      </c>
      <c r="N32" s="27">
        <f t="shared" si="18"/>
        <v>3.1440000000000001</v>
      </c>
      <c r="O32" s="27">
        <f t="shared" si="14"/>
        <v>3.5000000000000003E-2</v>
      </c>
      <c r="P32" s="313">
        <f t="shared" si="14"/>
        <v>3.18</v>
      </c>
    </row>
    <row r="33" spans="1:17" s="19" customFormat="1" ht="20.25" customHeight="1" x14ac:dyDescent="0.25">
      <c r="A33" s="494"/>
      <c r="B33" s="227" t="s">
        <v>9</v>
      </c>
      <c r="C33" s="219">
        <v>2300</v>
      </c>
      <c r="D33" s="220">
        <v>5.25</v>
      </c>
      <c r="E33" s="219">
        <v>0.5</v>
      </c>
      <c r="F33" s="221">
        <v>9390</v>
      </c>
      <c r="G33" s="222">
        <f t="shared" si="10"/>
        <v>4083.7147672541123</v>
      </c>
      <c r="H33" s="223">
        <f t="shared" si="11"/>
        <v>4967.3739122064453</v>
      </c>
      <c r="I33" s="224">
        <f t="shared" si="12"/>
        <v>68142.126294257512</v>
      </c>
      <c r="J33" s="307">
        <f t="shared" si="15"/>
        <v>0.56206300655600439</v>
      </c>
      <c r="K33" s="225">
        <f t="shared" si="16"/>
        <v>294.66776947573788</v>
      </c>
      <c r="L33" s="226">
        <f t="shared" si="17"/>
        <v>3.5958905696178105</v>
      </c>
      <c r="M33" s="226">
        <f t="shared" si="13"/>
        <v>298.26366004535572</v>
      </c>
      <c r="N33" s="27">
        <f t="shared" si="18"/>
        <v>2.9470000000000001</v>
      </c>
      <c r="O33" s="27">
        <f t="shared" si="14"/>
        <v>3.5999999999999997E-2</v>
      </c>
      <c r="P33" s="27">
        <f t="shared" si="14"/>
        <v>2.9830000000000001</v>
      </c>
    </row>
    <row r="34" spans="1:17" s="19" customFormat="1" ht="20.25" customHeight="1" x14ac:dyDescent="0.25">
      <c r="A34" s="495"/>
      <c r="B34" s="267" t="s">
        <v>10</v>
      </c>
      <c r="C34" s="220">
        <v>2318.4</v>
      </c>
      <c r="D34" s="220">
        <v>8.5</v>
      </c>
      <c r="E34" s="219">
        <v>0.5</v>
      </c>
      <c r="F34" s="221">
        <v>9819</v>
      </c>
      <c r="G34" s="222">
        <f t="shared" si="10"/>
        <v>3306.3662131264332</v>
      </c>
      <c r="H34" s="223">
        <f t="shared" si="11"/>
        <v>4901.5892943134077</v>
      </c>
      <c r="I34" s="224">
        <f t="shared" si="12"/>
        <v>61544.178317991638</v>
      </c>
      <c r="J34" s="307">
        <f t="shared" si="15"/>
        <v>0.6997078819688306</v>
      </c>
      <c r="K34" s="225">
        <f t="shared" si="16"/>
        <v>374.82848780383932</v>
      </c>
      <c r="L34" s="226">
        <f t="shared" si="17"/>
        <v>3.3630698534421661</v>
      </c>
      <c r="M34" s="226">
        <f t="shared" si="13"/>
        <v>378.19155765728146</v>
      </c>
      <c r="N34" s="27">
        <f t="shared" si="18"/>
        <v>3.7480000000000002</v>
      </c>
      <c r="O34" s="27">
        <f t="shared" si="14"/>
        <v>3.4000000000000002E-2</v>
      </c>
      <c r="P34" s="27">
        <f t="shared" si="14"/>
        <v>3.782</v>
      </c>
    </row>
    <row r="35" spans="1:17" x14ac:dyDescent="0.25">
      <c r="Q35" t="s">
        <v>431</v>
      </c>
    </row>
    <row r="36" spans="1:17" ht="31.5" x14ac:dyDescent="0.25">
      <c r="D36" s="295" t="s">
        <v>415</v>
      </c>
      <c r="E36" s="295" t="s">
        <v>416</v>
      </c>
    </row>
    <row r="37" spans="1:17" s="203" customFormat="1" ht="42.75" customHeight="1" x14ac:dyDescent="0.25">
      <c r="G37" s="103" t="s">
        <v>363</v>
      </c>
      <c r="J37" s="204" t="s">
        <v>364</v>
      </c>
      <c r="K37" s="204" t="s">
        <v>365</v>
      </c>
      <c r="L37" s="204" t="s">
        <v>366</v>
      </c>
      <c r="M37" s="204" t="s">
        <v>367</v>
      </c>
    </row>
    <row r="38" spans="1:17" s="203" customFormat="1" ht="39.75" customHeight="1" x14ac:dyDescent="0.25">
      <c r="A38" s="103"/>
      <c r="B38" s="204"/>
      <c r="C38" s="204" t="s">
        <v>368</v>
      </c>
      <c r="D38" s="204" t="s">
        <v>335</v>
      </c>
      <c r="E38" s="204" t="s">
        <v>369</v>
      </c>
      <c r="F38" s="205" t="s">
        <v>370</v>
      </c>
      <c r="G38" s="103" t="s">
        <v>371</v>
      </c>
      <c r="H38" s="206" t="s">
        <v>372</v>
      </c>
      <c r="I38" s="204" t="s">
        <v>68</v>
      </c>
      <c r="J38" s="207" t="s">
        <v>373</v>
      </c>
      <c r="K38" s="208" t="s">
        <v>374</v>
      </c>
      <c r="L38" s="209" t="s">
        <v>374</v>
      </c>
      <c r="M38" s="207" t="s">
        <v>374</v>
      </c>
    </row>
    <row r="39" spans="1:17" s="218" customFormat="1" ht="20.25" customHeight="1" x14ac:dyDescent="0.2">
      <c r="A39" s="210" t="s">
        <v>375</v>
      </c>
      <c r="B39" s="211" t="s">
        <v>21</v>
      </c>
      <c r="C39" s="212" t="s">
        <v>376</v>
      </c>
      <c r="D39" s="212" t="s">
        <v>377</v>
      </c>
      <c r="E39" s="213" t="s">
        <v>378</v>
      </c>
      <c r="F39" s="214" t="s">
        <v>379</v>
      </c>
      <c r="G39" s="215" t="s">
        <v>380</v>
      </c>
      <c r="H39" s="212" t="s">
        <v>381</v>
      </c>
      <c r="I39" s="213" t="s">
        <v>382</v>
      </c>
      <c r="J39" s="211" t="s">
        <v>383</v>
      </c>
      <c r="K39" s="216" t="s">
        <v>384</v>
      </c>
      <c r="L39" s="217" t="s">
        <v>385</v>
      </c>
      <c r="M39" s="211" t="s">
        <v>386</v>
      </c>
    </row>
    <row r="40" spans="1:17" s="19" customFormat="1" ht="20.25" customHeight="1" x14ac:dyDescent="0.25">
      <c r="A40" s="493" t="s">
        <v>417</v>
      </c>
      <c r="B40" s="267" t="s">
        <v>4</v>
      </c>
      <c r="C40" s="219">
        <v>2500</v>
      </c>
      <c r="D40" s="220">
        <v>9.3000000000000007</v>
      </c>
      <c r="E40" s="219">
        <v>0.5</v>
      </c>
      <c r="F40" s="221">
        <v>9819</v>
      </c>
      <c r="G40" s="222">
        <f t="shared" ref="G40:G45" si="19">O72</f>
        <v>2723.4967254195885</v>
      </c>
      <c r="H40" s="223">
        <f t="shared" ref="H40:I45" si="20">O62</f>
        <v>4302.8072540905932</v>
      </c>
      <c r="I40" s="224">
        <f t="shared" si="20"/>
        <v>61914.739078355415</v>
      </c>
      <c r="J40" s="10">
        <f>(C40-E40*F40/1000)/G40</f>
        <v>0.91613493664678447</v>
      </c>
      <c r="K40" s="225">
        <f>J40*H40*10/(100-D40)</f>
        <v>434.61433860304413</v>
      </c>
      <c r="L40" s="226">
        <f>E40*I40/((100-D40)*100)</f>
        <v>3.4131609194242234</v>
      </c>
      <c r="M40" s="226">
        <f t="shared" ref="M40:M45" si="21">K40+L40</f>
        <v>438.02749952246836</v>
      </c>
      <c r="N40" s="26"/>
    </row>
    <row r="41" spans="1:17" s="19" customFormat="1" ht="20.25" customHeight="1" x14ac:dyDescent="0.25">
      <c r="A41" s="494"/>
      <c r="B41" s="267" t="s">
        <v>5</v>
      </c>
      <c r="C41" s="219">
        <v>2450</v>
      </c>
      <c r="D41" s="220">
        <v>5.25</v>
      </c>
      <c r="E41" s="219">
        <v>0.5</v>
      </c>
      <c r="F41" s="221">
        <v>9819</v>
      </c>
      <c r="G41" s="222">
        <f t="shared" si="19"/>
        <v>3453.3689583055534</v>
      </c>
      <c r="H41" s="223">
        <f t="shared" si="20"/>
        <v>5719.53139533578</v>
      </c>
      <c r="I41" s="224">
        <f t="shared" si="20"/>
        <v>61859.101914081213</v>
      </c>
      <c r="J41" s="10">
        <f t="shared" ref="J41:J45" si="22">(C41-E41*F41/1000)/G41</f>
        <v>0.70803048545375225</v>
      </c>
      <c r="K41" s="225">
        <f t="shared" ref="K41:K45" si="23">J41*H41*10/(100-D41)</f>
        <v>427.39869028048224</v>
      </c>
      <c r="L41" s="226">
        <f t="shared" ref="L41:L45" si="24">E41*I41/((100-D41)*100)</f>
        <v>3.2643325548327815</v>
      </c>
      <c r="M41" s="226">
        <f t="shared" si="21"/>
        <v>430.66302283531502</v>
      </c>
      <c r="N41" s="26"/>
    </row>
    <row r="42" spans="1:17" s="19" customFormat="1" ht="20.25" customHeight="1" x14ac:dyDescent="0.25">
      <c r="A42" s="494"/>
      <c r="B42" s="267" t="s">
        <v>6</v>
      </c>
      <c r="C42" s="220">
        <v>2151</v>
      </c>
      <c r="D42" s="220">
        <v>5.25</v>
      </c>
      <c r="E42" s="219">
        <v>0.5</v>
      </c>
      <c r="F42" s="221">
        <v>9819</v>
      </c>
      <c r="G42" s="222">
        <f t="shared" si="19"/>
        <v>3606.8851395463134</v>
      </c>
      <c r="H42" s="223">
        <f t="shared" si="20"/>
        <v>5815.9447702269972</v>
      </c>
      <c r="I42" s="224">
        <f t="shared" si="20"/>
        <v>63959.446026318386</v>
      </c>
      <c r="J42" s="10">
        <f t="shared" si="22"/>
        <v>0.59499829270137017</v>
      </c>
      <c r="K42" s="225">
        <f t="shared" si="23"/>
        <v>365.22186899530618</v>
      </c>
      <c r="L42" s="226">
        <f t="shared" si="24"/>
        <v>3.375168655742395</v>
      </c>
      <c r="M42" s="226">
        <f t="shared" si="21"/>
        <v>368.59703765104859</v>
      </c>
      <c r="N42" s="26"/>
    </row>
    <row r="43" spans="1:17" s="19" customFormat="1" ht="20.25" customHeight="1" x14ac:dyDescent="0.25">
      <c r="A43" s="494"/>
      <c r="B43" s="267" t="s">
        <v>387</v>
      </c>
      <c r="C43" s="219">
        <v>2450</v>
      </c>
      <c r="D43" s="220">
        <v>5.25</v>
      </c>
      <c r="E43" s="219">
        <v>0.5</v>
      </c>
      <c r="F43" s="221">
        <v>9390</v>
      </c>
      <c r="G43" s="222">
        <f t="shared" si="19"/>
        <v>4080.2946487286276</v>
      </c>
      <c r="H43" s="223">
        <f t="shared" si="20"/>
        <v>5271.3900282222712</v>
      </c>
      <c r="I43" s="224">
        <f t="shared" si="20"/>
        <v>66931.493265292302</v>
      </c>
      <c r="J43" s="10">
        <f t="shared" si="22"/>
        <v>0.59929618091721104</v>
      </c>
      <c r="K43" s="225">
        <f t="shared" si="23"/>
        <v>333.41677171912153</v>
      </c>
      <c r="L43" s="226">
        <f t="shared" si="24"/>
        <v>3.5320049216513087</v>
      </c>
      <c r="M43" s="226">
        <f t="shared" si="21"/>
        <v>336.94877664077285</v>
      </c>
      <c r="N43" s="26"/>
    </row>
    <row r="44" spans="1:17" s="19" customFormat="1" ht="20.25" customHeight="1" x14ac:dyDescent="0.25">
      <c r="A44" s="494"/>
      <c r="B44" s="227" t="s">
        <v>9</v>
      </c>
      <c r="C44" s="219">
        <v>2300</v>
      </c>
      <c r="D44" s="220">
        <v>5.25</v>
      </c>
      <c r="E44" s="219">
        <v>0.5</v>
      </c>
      <c r="F44" s="221">
        <v>9390</v>
      </c>
      <c r="G44" s="222">
        <f t="shared" si="19"/>
        <v>4083.7147672541123</v>
      </c>
      <c r="H44" s="223">
        <f t="shared" si="20"/>
        <v>5267.3739122064453</v>
      </c>
      <c r="I44" s="224">
        <f t="shared" si="20"/>
        <v>68142.126294257512</v>
      </c>
      <c r="J44" s="10">
        <f t="shared" si="22"/>
        <v>0.56206300655600439</v>
      </c>
      <c r="K44" s="225">
        <f t="shared" si="23"/>
        <v>312.46395965693063</v>
      </c>
      <c r="L44" s="226">
        <f t="shared" si="24"/>
        <v>3.5958905696178105</v>
      </c>
      <c r="M44" s="226">
        <f t="shared" si="21"/>
        <v>316.05985022654846</v>
      </c>
      <c r="N44" s="26"/>
    </row>
    <row r="45" spans="1:17" s="19" customFormat="1" ht="20.25" customHeight="1" x14ac:dyDescent="0.25">
      <c r="A45" s="495"/>
      <c r="B45" s="267" t="s">
        <v>10</v>
      </c>
      <c r="C45" s="220">
        <v>2318.4</v>
      </c>
      <c r="D45" s="220">
        <v>8.5</v>
      </c>
      <c r="E45" s="219">
        <v>0.5</v>
      </c>
      <c r="F45" s="221">
        <v>9819</v>
      </c>
      <c r="G45" s="222">
        <f t="shared" si="19"/>
        <v>3306.3662131264332</v>
      </c>
      <c r="H45" s="223">
        <f t="shared" si="20"/>
        <v>5201.5892943134077</v>
      </c>
      <c r="I45" s="224">
        <f t="shared" si="20"/>
        <v>61544.178317991638</v>
      </c>
      <c r="J45" s="10">
        <f t="shared" si="22"/>
        <v>0.6997078819688306</v>
      </c>
      <c r="K45" s="225">
        <f t="shared" si="23"/>
        <v>397.76972983560421</v>
      </c>
      <c r="L45" s="226">
        <f t="shared" si="24"/>
        <v>3.3630698534421661</v>
      </c>
      <c r="M45" s="226">
        <f t="shared" si="21"/>
        <v>401.13279968904635</v>
      </c>
      <c r="N45" s="26"/>
    </row>
    <row r="48" spans="1:17" x14ac:dyDescent="0.25">
      <c r="C48" s="309" t="s">
        <v>429</v>
      </c>
    </row>
    <row r="49" spans="1:22" s="308" customFormat="1" ht="15.75" x14ac:dyDescent="0.25">
      <c r="C49" s="312"/>
      <c r="D49" s="312"/>
    </row>
    <row r="50" spans="1:22" s="203" customFormat="1" ht="42.75" customHeight="1" x14ac:dyDescent="0.25">
      <c r="G50" s="103" t="s">
        <v>363</v>
      </c>
      <c r="J50" s="204" t="s">
        <v>364</v>
      </c>
      <c r="K50" s="204" t="s">
        <v>365</v>
      </c>
      <c r="L50" s="204" t="s">
        <v>366</v>
      </c>
      <c r="M50" s="204" t="s">
        <v>367</v>
      </c>
    </row>
    <row r="51" spans="1:22" s="203" customFormat="1" ht="39.75" customHeight="1" x14ac:dyDescent="0.25">
      <c r="A51" s="103"/>
      <c r="B51" s="204"/>
      <c r="C51" s="204" t="s">
        <v>368</v>
      </c>
      <c r="D51" s="204" t="s">
        <v>335</v>
      </c>
      <c r="E51" s="204" t="s">
        <v>369</v>
      </c>
      <c r="F51" s="205" t="s">
        <v>370</v>
      </c>
      <c r="G51" s="103" t="s">
        <v>371</v>
      </c>
      <c r="H51" s="206" t="s">
        <v>372</v>
      </c>
      <c r="I51" s="204" t="s">
        <v>68</v>
      </c>
      <c r="J51" s="207" t="s">
        <v>373</v>
      </c>
      <c r="K51" s="208" t="s">
        <v>374</v>
      </c>
      <c r="L51" s="209" t="s">
        <v>374</v>
      </c>
      <c r="M51" s="207" t="s">
        <v>374</v>
      </c>
    </row>
    <row r="52" spans="1:22" s="218" customFormat="1" ht="20.25" customHeight="1" x14ac:dyDescent="0.2">
      <c r="A52" s="210" t="s">
        <v>375</v>
      </c>
      <c r="B52" s="211" t="s">
        <v>21</v>
      </c>
      <c r="C52" s="212" t="s">
        <v>376</v>
      </c>
      <c r="D52" s="212" t="s">
        <v>377</v>
      </c>
      <c r="E52" s="213" t="s">
        <v>378</v>
      </c>
      <c r="F52" s="214" t="s">
        <v>379</v>
      </c>
      <c r="G52" s="215" t="s">
        <v>380</v>
      </c>
      <c r="H52" s="212" t="s">
        <v>381</v>
      </c>
      <c r="I52" s="213" t="s">
        <v>382</v>
      </c>
      <c r="J52" s="211" t="s">
        <v>383</v>
      </c>
      <c r="K52" s="216" t="s">
        <v>384</v>
      </c>
      <c r="L52" s="217" t="s">
        <v>385</v>
      </c>
      <c r="M52" s="211" t="s">
        <v>386</v>
      </c>
    </row>
    <row r="53" spans="1:22" s="19" customFormat="1" ht="20.25" customHeight="1" x14ac:dyDescent="0.25">
      <c r="A53" s="493" t="s">
        <v>435</v>
      </c>
      <c r="B53" s="267" t="s">
        <v>4</v>
      </c>
      <c r="C53" s="219">
        <v>2500</v>
      </c>
      <c r="D53" s="220">
        <v>9.3000000000000007</v>
      </c>
      <c r="E53" s="219">
        <v>0.5</v>
      </c>
      <c r="F53" s="221">
        <v>9819</v>
      </c>
      <c r="G53" s="222">
        <f>AI16</f>
        <v>2827.1798406862745</v>
      </c>
      <c r="H53" s="223">
        <f>AJ16</f>
        <v>3804.2551292410722</v>
      </c>
      <c r="I53" s="224">
        <f>AK16</f>
        <v>63649.347743171427</v>
      </c>
      <c r="J53" s="10">
        <f>(C53-E53*F53/1000)/G53</f>
        <v>0.8825368885604169</v>
      </c>
      <c r="K53" s="225">
        <f>J53*H53*10/(100-D53)</f>
        <v>370.1648825854931</v>
      </c>
      <c r="L53" s="226">
        <f>E53*I53/((100-D53)*100)</f>
        <v>3.5087843298330443</v>
      </c>
      <c r="M53" s="226">
        <f t="shared" ref="M53:M58" si="25">K53+L53</f>
        <v>373.67366691532612</v>
      </c>
      <c r="N53" s="27">
        <f>ROUND(K53/100,3)</f>
        <v>3.702</v>
      </c>
      <c r="O53" s="27">
        <f t="shared" ref="O53:O58" si="26">ROUND(L53/100,3)</f>
        <v>3.5000000000000003E-2</v>
      </c>
      <c r="P53" s="27">
        <f t="shared" ref="P53:P58" si="27">ROUND(M53/100,3)</f>
        <v>3.7370000000000001</v>
      </c>
    </row>
    <row r="54" spans="1:22" s="19" customFormat="1" ht="20.25" customHeight="1" x14ac:dyDescent="0.25">
      <c r="A54" s="494"/>
      <c r="B54" s="267" t="s">
        <v>5</v>
      </c>
      <c r="C54" s="219">
        <v>2450</v>
      </c>
      <c r="D54" s="220">
        <v>5.25</v>
      </c>
      <c r="E54" s="219">
        <v>0.5</v>
      </c>
      <c r="F54" s="221">
        <v>9819</v>
      </c>
      <c r="G54" s="222">
        <f t="shared" ref="G54:I54" si="28">AI17</f>
        <v>3584.3234033583926</v>
      </c>
      <c r="H54" s="223">
        <f t="shared" si="28"/>
        <v>5305.1163352841977</v>
      </c>
      <c r="I54" s="224">
        <f t="shared" si="28"/>
        <v>63670.788143478851</v>
      </c>
      <c r="J54" s="10">
        <f t="shared" ref="J54:J58" si="29">(C54-E54*F54/1000)/G54</f>
        <v>0.68216235669723069</v>
      </c>
      <c r="K54" s="225">
        <f t="shared" ref="K54:K58" si="30">J54*H54*10/(100-D54)</f>
        <v>381.94729940162995</v>
      </c>
      <c r="L54" s="226">
        <f t="shared" ref="L54:L58" si="31">E54*I54/((100-D54)*100)</f>
        <v>3.3599360497878021</v>
      </c>
      <c r="M54" s="226">
        <f t="shared" si="25"/>
        <v>385.30723545141774</v>
      </c>
      <c r="N54" s="27">
        <f t="shared" ref="N54:N58" si="32">ROUND(K54/100,3)</f>
        <v>3.819</v>
      </c>
      <c r="O54" s="27">
        <f t="shared" si="26"/>
        <v>3.4000000000000002E-2</v>
      </c>
      <c r="P54" s="27">
        <f t="shared" si="27"/>
        <v>3.8530000000000002</v>
      </c>
    </row>
    <row r="55" spans="1:22" s="19" customFormat="1" ht="20.25" customHeight="1" x14ac:dyDescent="0.25">
      <c r="A55" s="494"/>
      <c r="B55" s="267" t="s">
        <v>6</v>
      </c>
      <c r="C55" s="220">
        <v>2151</v>
      </c>
      <c r="D55" s="220">
        <v>5.25</v>
      </c>
      <c r="E55" s="219">
        <v>0.5</v>
      </c>
      <c r="F55" s="221">
        <v>9819</v>
      </c>
      <c r="G55" s="222">
        <f t="shared" ref="G55:I55" si="33">AI18</f>
        <v>3622.0920414641714</v>
      </c>
      <c r="H55" s="223">
        <f t="shared" si="33"/>
        <v>5435.2811869993502</v>
      </c>
      <c r="I55" s="224">
        <f t="shared" si="33"/>
        <v>65914.139014470638</v>
      </c>
      <c r="J55" s="10">
        <f t="shared" si="29"/>
        <v>0.59250026654001808</v>
      </c>
      <c r="K55" s="225">
        <f t="shared" si="30"/>
        <v>339.88449097805392</v>
      </c>
      <c r="L55" s="226">
        <f t="shared" si="31"/>
        <v>3.4783186815024085</v>
      </c>
      <c r="M55" s="226">
        <f t="shared" si="25"/>
        <v>343.36280965955632</v>
      </c>
      <c r="N55" s="27">
        <f t="shared" si="32"/>
        <v>3.399</v>
      </c>
      <c r="O55" s="27">
        <f t="shared" si="26"/>
        <v>3.5000000000000003E-2</v>
      </c>
      <c r="P55" s="27">
        <f t="shared" si="27"/>
        <v>3.4340000000000002</v>
      </c>
    </row>
    <row r="56" spans="1:22" s="19" customFormat="1" ht="20.25" customHeight="1" x14ac:dyDescent="0.25">
      <c r="A56" s="494"/>
      <c r="B56" s="267" t="s">
        <v>387</v>
      </c>
      <c r="C56" s="219">
        <v>2450</v>
      </c>
      <c r="D56" s="220">
        <v>5.25</v>
      </c>
      <c r="E56" s="219">
        <v>0.5</v>
      </c>
      <c r="F56" s="221">
        <v>9390</v>
      </c>
      <c r="G56" s="222">
        <f t="shared" ref="G56:I56" si="34">AI19</f>
        <v>4219.2428478853371</v>
      </c>
      <c r="H56" s="223">
        <f t="shared" si="34"/>
        <v>4713.3773984866684</v>
      </c>
      <c r="I56" s="224">
        <f t="shared" si="34"/>
        <v>71011.924606281827</v>
      </c>
      <c r="J56" s="10">
        <f t="shared" si="29"/>
        <v>0.57956014577960924</v>
      </c>
      <c r="K56" s="225">
        <f t="shared" si="30"/>
        <v>288.30455854155656</v>
      </c>
      <c r="L56" s="226">
        <f t="shared" si="31"/>
        <v>3.747331113787959</v>
      </c>
      <c r="M56" s="226">
        <f t="shared" si="25"/>
        <v>292.0518896553445</v>
      </c>
      <c r="N56" s="27">
        <f t="shared" si="32"/>
        <v>2.883</v>
      </c>
      <c r="O56" s="27">
        <f t="shared" si="26"/>
        <v>3.6999999999999998E-2</v>
      </c>
      <c r="P56" s="27">
        <f t="shared" si="27"/>
        <v>2.9209999999999998</v>
      </c>
    </row>
    <row r="57" spans="1:22" s="19" customFormat="1" ht="20.25" customHeight="1" x14ac:dyDescent="0.25">
      <c r="A57" s="494"/>
      <c r="B57" s="227" t="s">
        <v>9</v>
      </c>
      <c r="C57" s="219">
        <v>2300</v>
      </c>
      <c r="D57" s="220">
        <v>5.25</v>
      </c>
      <c r="E57" s="219">
        <v>0.5</v>
      </c>
      <c r="F57" s="221">
        <v>9390</v>
      </c>
      <c r="G57" s="222">
        <f t="shared" ref="G57:I57" si="35">AI20</f>
        <v>4231.8094657651045</v>
      </c>
      <c r="H57" s="223">
        <f t="shared" si="35"/>
        <v>4716.224252707807</v>
      </c>
      <c r="I57" s="224">
        <f t="shared" si="35"/>
        <v>69874.866473171802</v>
      </c>
      <c r="J57" s="10">
        <f t="shared" si="29"/>
        <v>0.54239327610772103</v>
      </c>
      <c r="K57" s="225">
        <f t="shared" si="30"/>
        <v>269.97871485856211</v>
      </c>
      <c r="L57" s="226">
        <f t="shared" si="31"/>
        <v>3.6873280460776678</v>
      </c>
      <c r="M57" s="226">
        <f t="shared" si="25"/>
        <v>273.66604290463977</v>
      </c>
      <c r="N57" s="27">
        <f t="shared" si="32"/>
        <v>2.7</v>
      </c>
      <c r="O57" s="27">
        <f t="shared" si="26"/>
        <v>3.6999999999999998E-2</v>
      </c>
      <c r="P57" s="27">
        <f t="shared" si="27"/>
        <v>2.7370000000000001</v>
      </c>
    </row>
    <row r="58" spans="1:22" s="19" customFormat="1" ht="20.25" customHeight="1" x14ac:dyDescent="0.25">
      <c r="A58" s="495"/>
      <c r="B58" s="267" t="s">
        <v>10</v>
      </c>
      <c r="C58" s="220">
        <v>2318.4</v>
      </c>
      <c r="D58" s="220">
        <v>8.5</v>
      </c>
      <c r="E58" s="219">
        <v>0.5</v>
      </c>
      <c r="F58" s="221">
        <v>9819</v>
      </c>
      <c r="G58" s="222">
        <f t="shared" ref="G58:I58" si="36">AI21</f>
        <v>3247.9992134887152</v>
      </c>
      <c r="H58" s="223">
        <f t="shared" si="36"/>
        <v>4678.6794449697418</v>
      </c>
      <c r="I58" s="224">
        <f t="shared" si="36"/>
        <v>63536.390251114419</v>
      </c>
      <c r="J58" s="10">
        <f t="shared" si="29"/>
        <v>0.71228173036256737</v>
      </c>
      <c r="K58" s="225">
        <f t="shared" si="30"/>
        <v>364.21179135243972</v>
      </c>
      <c r="L58" s="226">
        <f t="shared" si="31"/>
        <v>3.47193389350352</v>
      </c>
      <c r="M58" s="226">
        <f t="shared" si="25"/>
        <v>367.68372524594326</v>
      </c>
      <c r="N58" s="27">
        <f t="shared" si="32"/>
        <v>3.6419999999999999</v>
      </c>
      <c r="O58" s="27">
        <f t="shared" si="26"/>
        <v>3.5000000000000003E-2</v>
      </c>
      <c r="P58" s="27">
        <f t="shared" si="27"/>
        <v>3.677</v>
      </c>
    </row>
    <row r="59" spans="1:22" ht="15.75" x14ac:dyDescent="0.25">
      <c r="B59" s="3" t="s">
        <v>35</v>
      </c>
      <c r="C59" s="487">
        <v>45748</v>
      </c>
      <c r="D59" s="488"/>
      <c r="E59" s="487">
        <v>45778</v>
      </c>
      <c r="F59" s="488"/>
      <c r="G59" s="487">
        <v>45809</v>
      </c>
      <c r="H59" s="488"/>
      <c r="I59" s="487">
        <v>45839</v>
      </c>
      <c r="J59" s="488"/>
      <c r="K59" s="487">
        <v>45870</v>
      </c>
      <c r="L59" s="488"/>
      <c r="M59" s="487">
        <v>45901</v>
      </c>
      <c r="N59" s="488"/>
      <c r="O59" s="488" t="s">
        <v>320</v>
      </c>
      <c r="P59" s="488"/>
      <c r="Q59" t="s">
        <v>430</v>
      </c>
      <c r="S59" t="s">
        <v>432</v>
      </c>
    </row>
    <row r="60" spans="1:22" ht="63" x14ac:dyDescent="0.25">
      <c r="B60" s="282"/>
      <c r="C60" s="199" t="s">
        <v>321</v>
      </c>
      <c r="D60" s="199" t="s">
        <v>322</v>
      </c>
      <c r="E60" s="199" t="s">
        <v>321</v>
      </c>
      <c r="F60" s="199" t="s">
        <v>322</v>
      </c>
      <c r="G60" s="199" t="s">
        <v>321</v>
      </c>
      <c r="H60" s="199" t="s">
        <v>322</v>
      </c>
      <c r="I60" s="199" t="s">
        <v>321</v>
      </c>
      <c r="J60" s="199" t="s">
        <v>322</v>
      </c>
      <c r="K60" s="199" t="s">
        <v>321</v>
      </c>
      <c r="L60" s="199" t="s">
        <v>322</v>
      </c>
      <c r="M60" s="199" t="s">
        <v>321</v>
      </c>
      <c r="N60" s="199" t="s">
        <v>322</v>
      </c>
      <c r="O60" s="199" t="s">
        <v>321</v>
      </c>
      <c r="P60" s="199" t="s">
        <v>322</v>
      </c>
      <c r="Q60" s="199" t="s">
        <v>321</v>
      </c>
      <c r="R60" s="199" t="s">
        <v>322</v>
      </c>
      <c r="S60" s="199" t="s">
        <v>321</v>
      </c>
      <c r="T60" s="199" t="s">
        <v>322</v>
      </c>
      <c r="U60" s="310" t="s">
        <v>433</v>
      </c>
    </row>
    <row r="61" spans="1:22" ht="15.75" x14ac:dyDescent="0.25">
      <c r="B61" s="3"/>
      <c r="C61" s="200" t="s">
        <v>323</v>
      </c>
      <c r="D61" s="200" t="s">
        <v>324</v>
      </c>
      <c r="E61" s="200" t="s">
        <v>323</v>
      </c>
      <c r="F61" s="200" t="s">
        <v>324</v>
      </c>
      <c r="G61" s="200" t="s">
        <v>323</v>
      </c>
      <c r="H61" s="200" t="s">
        <v>324</v>
      </c>
      <c r="I61" s="200" t="s">
        <v>323</v>
      </c>
      <c r="J61" s="200" t="s">
        <v>324</v>
      </c>
      <c r="K61" s="200" t="s">
        <v>323</v>
      </c>
      <c r="L61" s="200" t="s">
        <v>324</v>
      </c>
      <c r="M61" s="200" t="s">
        <v>323</v>
      </c>
      <c r="N61" s="200" t="s">
        <v>324</v>
      </c>
      <c r="O61" s="200" t="s">
        <v>323</v>
      </c>
      <c r="P61" s="200" t="s">
        <v>324</v>
      </c>
      <c r="Q61" s="200" t="s">
        <v>323</v>
      </c>
      <c r="R61" s="200" t="s">
        <v>324</v>
      </c>
      <c r="S61" s="311" t="s">
        <v>323</v>
      </c>
      <c r="T61" s="311" t="s">
        <v>324</v>
      </c>
      <c r="U61" s="311" t="s">
        <v>434</v>
      </c>
    </row>
    <row r="62" spans="1:22" ht="15.75" x14ac:dyDescent="0.25">
      <c r="B62" s="3" t="s">
        <v>4</v>
      </c>
      <c r="C62" s="4">
        <f>3708.68+600</f>
        <v>4308.68</v>
      </c>
      <c r="D62" s="4">
        <v>63984.12</v>
      </c>
      <c r="E62" s="4">
        <f>3649.5+600</f>
        <v>4249.5</v>
      </c>
      <c r="F62" s="4">
        <v>62086.87</v>
      </c>
      <c r="G62" s="283">
        <f>3704.61+600</f>
        <v>4304.6100000000006</v>
      </c>
      <c r="H62" s="201">
        <v>61721.32</v>
      </c>
      <c r="I62" s="201">
        <f>3748.71+600</f>
        <v>4348.71</v>
      </c>
      <c r="J62" s="201">
        <v>61785.1</v>
      </c>
      <c r="K62" s="201">
        <f>3727.84+600</f>
        <v>4327.84</v>
      </c>
      <c r="L62" s="201">
        <v>61965.82</v>
      </c>
      <c r="M62" s="284">
        <f>3396.25+600</f>
        <v>3996.25</v>
      </c>
      <c r="N62" s="284">
        <v>61321.06</v>
      </c>
      <c r="O62" s="285">
        <f>(C62*D72+E62*F72+G62*H72+I62*J72+K62*L72)/(D72+F72+H72+J72+L72)</f>
        <v>4302.8072540905932</v>
      </c>
      <c r="P62" s="285">
        <f>(D62*S72+F62*T72+H62*U72+J62*V72+L62*W72)/(S72+T72+U72+V72+W72)</f>
        <v>61914.739078355415</v>
      </c>
      <c r="Q62" s="4">
        <f>(G62*H72+I62*J72+K62*L72)/(H72+J72+L72)</f>
        <v>4329.6618914128157</v>
      </c>
      <c r="R62" s="168">
        <f>(F62*U72+J62*V72+L62*W72)/(U72+V72+W72)</f>
        <v>61970.067320670656</v>
      </c>
      <c r="S62" s="263">
        <f>(Q62-600)*1.02</f>
        <v>3804.2551292410722</v>
      </c>
      <c r="T62" s="263">
        <f>R62*1.02</f>
        <v>63209.468667084067</v>
      </c>
      <c r="U62" s="263">
        <f>(G72*H72+I72*J72+K72*L72)/(H72+J72+L72)</f>
        <v>2827.1798406862745</v>
      </c>
      <c r="V62">
        <f>Q62-600</f>
        <v>3729.6618914128157</v>
      </c>
    </row>
    <row r="63" spans="1:22" ht="15.75" x14ac:dyDescent="0.25">
      <c r="B63" s="3" t="s">
        <v>5</v>
      </c>
      <c r="C63" s="4">
        <f>5051.76+600</f>
        <v>5651.76</v>
      </c>
      <c r="D63" s="4">
        <v>63984.12</v>
      </c>
      <c r="E63" s="4">
        <f>5020.67+600</f>
        <v>5620.67</v>
      </c>
      <c r="F63" s="4">
        <v>62086.87</v>
      </c>
      <c r="G63" s="283">
        <f>5469.97+600</f>
        <v>6069.97</v>
      </c>
      <c r="H63" s="201">
        <v>61721.32</v>
      </c>
      <c r="I63" s="201">
        <f>5091.07+600</f>
        <v>5691.07</v>
      </c>
      <c r="J63" s="201">
        <v>61785.1</v>
      </c>
      <c r="K63" s="201">
        <f>4914.3+600</f>
        <v>5514.3</v>
      </c>
      <c r="L63" s="201">
        <v>61965.82</v>
      </c>
      <c r="M63" s="284">
        <f>4720.3+600</f>
        <v>5320.3</v>
      </c>
      <c r="N63" s="284">
        <v>61321.06</v>
      </c>
      <c r="O63" s="285">
        <f t="shared" ref="O63:O67" si="37">(C63*D73+E63*F73+G63*H73+I63*J73+K63*L73)/(D73+F73+H73+J73+L73)</f>
        <v>5719.53139533578</v>
      </c>
      <c r="P63" s="285">
        <f t="shared" ref="P63:P67" si="38">(D63*S73+F63*T73+H63*U73+J63*V73+L63*W73)/(S73+T73+U73+V73+W73)</f>
        <v>61859.101914081213</v>
      </c>
      <c r="Q63" s="4">
        <f t="shared" ref="Q63:Q67" si="39">(G63*H73+I63*J73+K63*L73)/(H73+J73+L73)</f>
        <v>5801.0944463570568</v>
      </c>
      <c r="R63" s="168">
        <f t="shared" ref="R63:R67" si="40">(F63*U73+J63*V73+L63*W73)/(U73+V73+W73)</f>
        <v>61998.157100520628</v>
      </c>
      <c r="S63" s="263">
        <f t="shared" ref="S63:S67" si="41">(Q63-600)*1.02</f>
        <v>5305.1163352841977</v>
      </c>
      <c r="T63" s="263">
        <f t="shared" ref="T63:T67" si="42">R63*1.02</f>
        <v>63238.12024253104</v>
      </c>
      <c r="U63" s="263">
        <f t="shared" ref="U63:U67" si="43">(G73*H73+I73*J73+K73*L73)/(H73+J73+L73)</f>
        <v>3584.3234033583926</v>
      </c>
      <c r="V63">
        <f t="shared" ref="V63:V67" si="44">Q63-600</f>
        <v>5201.0944463570568</v>
      </c>
    </row>
    <row r="64" spans="1:22" ht="15.75" x14ac:dyDescent="0.25">
      <c r="B64" s="3" t="s">
        <v>6</v>
      </c>
      <c r="C64" s="4">
        <f>5147.06+600</f>
        <v>5747.06</v>
      </c>
      <c r="D64" s="4">
        <v>59723.519999999997</v>
      </c>
      <c r="E64" s="4">
        <f>5069.97+600</f>
        <v>5669.97</v>
      </c>
      <c r="F64" s="4">
        <v>59723.519999999997</v>
      </c>
      <c r="G64" s="286">
        <f>5425.02+600</f>
        <v>6025.02</v>
      </c>
      <c r="H64" s="202">
        <v>59723.519999999997</v>
      </c>
      <c r="I64" s="202">
        <f>5340.3+600</f>
        <v>5940.3</v>
      </c>
      <c r="J64" s="202">
        <v>64802.94</v>
      </c>
      <c r="K64" s="202">
        <f>5245.69+600</f>
        <v>5845.69</v>
      </c>
      <c r="L64" s="202">
        <v>62553.47</v>
      </c>
      <c r="M64" s="284">
        <f>4545.8+600</f>
        <v>5145.8</v>
      </c>
      <c r="N64" s="284">
        <v>62342.36</v>
      </c>
      <c r="O64" s="285">
        <f t="shared" si="37"/>
        <v>5815.9447702269972</v>
      </c>
      <c r="P64" s="285">
        <f t="shared" si="38"/>
        <v>63959.446026318386</v>
      </c>
      <c r="Q64" s="4">
        <f t="shared" si="39"/>
        <v>5928.7070460777941</v>
      </c>
      <c r="R64" s="168">
        <f t="shared" si="40"/>
        <v>64021.704916147683</v>
      </c>
      <c r="S64" s="263">
        <f t="shared" si="41"/>
        <v>5435.2811869993502</v>
      </c>
      <c r="T64" s="263">
        <f t="shared" si="42"/>
        <v>65302.139014470638</v>
      </c>
      <c r="U64" s="263">
        <f t="shared" si="43"/>
        <v>3622.0920414641714</v>
      </c>
      <c r="V64">
        <f t="shared" si="44"/>
        <v>5328.7070460777941</v>
      </c>
    </row>
    <row r="65" spans="2:25" ht="15.75" x14ac:dyDescent="0.25">
      <c r="B65" s="3" t="s">
        <v>8</v>
      </c>
      <c r="C65" s="4">
        <f>4849.27+600</f>
        <v>5449.27</v>
      </c>
      <c r="D65" s="4">
        <v>70159.98</v>
      </c>
      <c r="E65" s="4">
        <f>4633.91+600</f>
        <v>5233.91</v>
      </c>
      <c r="F65" s="4">
        <v>65234.229999999996</v>
      </c>
      <c r="G65" s="283">
        <f>4591.66+600</f>
        <v>5191.66</v>
      </c>
      <c r="H65" s="201">
        <v>67463.899999999994</v>
      </c>
      <c r="I65" s="201">
        <f>4672.72+600</f>
        <v>5272.72</v>
      </c>
      <c r="J65" s="201">
        <v>69545.59</v>
      </c>
      <c r="K65" s="201">
        <f>4600.83+600</f>
        <v>5200.83</v>
      </c>
      <c r="L65" s="201">
        <v>67977.69</v>
      </c>
      <c r="M65" s="284">
        <f>4417.25+600</f>
        <v>5017.25</v>
      </c>
      <c r="N65" s="284">
        <v>64390.13</v>
      </c>
      <c r="O65" s="285">
        <f t="shared" si="37"/>
        <v>5271.3900282222712</v>
      </c>
      <c r="P65" s="285">
        <f t="shared" si="38"/>
        <v>66931.493265292302</v>
      </c>
      <c r="Q65" s="4">
        <f t="shared" si="39"/>
        <v>5220.9582338104592</v>
      </c>
      <c r="R65" s="168">
        <f t="shared" si="40"/>
        <v>68982.761178108078</v>
      </c>
      <c r="S65" s="263">
        <f t="shared" si="41"/>
        <v>4713.3773984866684</v>
      </c>
      <c r="T65" s="263">
        <f t="shared" si="42"/>
        <v>70362.416401670242</v>
      </c>
      <c r="U65" s="263">
        <f t="shared" si="43"/>
        <v>4219.2428478853371</v>
      </c>
      <c r="V65">
        <f t="shared" si="44"/>
        <v>4620.9582338104592</v>
      </c>
    </row>
    <row r="66" spans="2:25" ht="15.75" x14ac:dyDescent="0.25">
      <c r="B66" s="3" t="s">
        <v>319</v>
      </c>
      <c r="C66" s="4">
        <f>4849.27+600</f>
        <v>5449.27</v>
      </c>
      <c r="D66" s="4">
        <v>70159.98</v>
      </c>
      <c r="E66" s="4">
        <f>4633.91+600</f>
        <v>5233.91</v>
      </c>
      <c r="F66" s="4">
        <v>65234.229999999996</v>
      </c>
      <c r="G66" s="283">
        <f>4591.66+600</f>
        <v>5191.66</v>
      </c>
      <c r="H66" s="201">
        <v>67463.899999999994</v>
      </c>
      <c r="I66" s="201">
        <f>4672.72+600</f>
        <v>5272.72</v>
      </c>
      <c r="J66" s="201">
        <v>69545.59</v>
      </c>
      <c r="K66" s="201">
        <f>4600.83+600</f>
        <v>5200.83</v>
      </c>
      <c r="L66" s="201">
        <v>67977.69</v>
      </c>
      <c r="M66" s="284">
        <f>4417.25+600</f>
        <v>5017.25</v>
      </c>
      <c r="N66" s="284">
        <v>64390.13</v>
      </c>
      <c r="O66" s="285">
        <f t="shared" si="37"/>
        <v>5267.3739122064453</v>
      </c>
      <c r="P66" s="285">
        <f t="shared" si="38"/>
        <v>68142.126294257512</v>
      </c>
      <c r="Q66" s="4">
        <f t="shared" si="39"/>
        <v>5223.7492673605948</v>
      </c>
      <c r="R66" s="168">
        <f t="shared" si="40"/>
        <v>67588.328165932457</v>
      </c>
      <c r="S66" s="263">
        <f t="shared" si="41"/>
        <v>4716.224252707807</v>
      </c>
      <c r="T66" s="263">
        <f t="shared" si="42"/>
        <v>68940.094729251112</v>
      </c>
      <c r="U66" s="263">
        <f t="shared" si="43"/>
        <v>4231.8094657651045</v>
      </c>
      <c r="V66">
        <f t="shared" si="44"/>
        <v>4623.7492673605948</v>
      </c>
    </row>
    <row r="67" spans="2:25" ht="15.75" x14ac:dyDescent="0.25">
      <c r="B67" s="3" t="s">
        <v>10</v>
      </c>
      <c r="C67" s="4">
        <f>4595.06+600</f>
        <v>5195.0600000000004</v>
      </c>
      <c r="D67" s="4">
        <v>61638.77</v>
      </c>
      <c r="E67" s="4">
        <f>4646.16+600</f>
        <v>5246.16</v>
      </c>
      <c r="F67" s="4">
        <v>58491.87</v>
      </c>
      <c r="G67" s="283">
        <f>4944.17+600</f>
        <v>5544.17</v>
      </c>
      <c r="H67" s="201">
        <v>64460.45</v>
      </c>
      <c r="I67" s="201">
        <f>4442.81+600</f>
        <v>5042.8100000000004</v>
      </c>
      <c r="J67" s="201">
        <v>61486.45</v>
      </c>
      <c r="K67" s="201">
        <f>4371.83+600</f>
        <v>4971.83</v>
      </c>
      <c r="L67" s="201">
        <v>60966.9</v>
      </c>
      <c r="M67" s="284">
        <f>4032.9+600</f>
        <v>4632.8999999999996</v>
      </c>
      <c r="N67" s="284">
        <v>62068.95</v>
      </c>
      <c r="O67" s="285">
        <f t="shared" si="37"/>
        <v>5201.5892943134077</v>
      </c>
      <c r="P67" s="285">
        <f t="shared" si="38"/>
        <v>61544.178317991638</v>
      </c>
      <c r="Q67" s="4">
        <f t="shared" si="39"/>
        <v>5186.9406323232761</v>
      </c>
      <c r="R67" s="168">
        <f t="shared" si="40"/>
        <v>60803.716864784554</v>
      </c>
      <c r="S67" s="263">
        <f t="shared" si="41"/>
        <v>4678.6794449697418</v>
      </c>
      <c r="T67" s="263">
        <f t="shared" si="42"/>
        <v>62019.791202080247</v>
      </c>
      <c r="U67" s="263">
        <f t="shared" si="43"/>
        <v>3247.9992134887152</v>
      </c>
      <c r="V67">
        <f t="shared" si="44"/>
        <v>4586.9406323232761</v>
      </c>
    </row>
    <row r="68" spans="2:25" x14ac:dyDescent="0.25">
      <c r="C68" s="4"/>
      <c r="D68" s="4"/>
      <c r="E68" s="4"/>
      <c r="F68" s="4"/>
    </row>
    <row r="69" spans="2:25" ht="15.75" x14ac:dyDescent="0.25">
      <c r="B69" s="3" t="s">
        <v>35</v>
      </c>
      <c r="C69" s="496">
        <v>45748</v>
      </c>
      <c r="D69" s="497"/>
      <c r="E69" s="496">
        <v>45778</v>
      </c>
      <c r="F69" s="497"/>
      <c r="G69" s="496">
        <v>45809</v>
      </c>
      <c r="H69" s="497"/>
      <c r="I69" s="496">
        <v>45839</v>
      </c>
      <c r="J69" s="497"/>
      <c r="K69" s="496">
        <v>45870</v>
      </c>
      <c r="L69" s="497"/>
      <c r="M69" s="498">
        <v>45901</v>
      </c>
      <c r="N69" s="499"/>
      <c r="O69" s="3" t="s">
        <v>320</v>
      </c>
      <c r="P69" s="287"/>
      <c r="R69" s="492" t="s">
        <v>35</v>
      </c>
      <c r="S69" s="288">
        <v>45748</v>
      </c>
      <c r="T69" s="288">
        <v>45778</v>
      </c>
      <c r="U69" s="288">
        <v>45809</v>
      </c>
      <c r="V69" s="288">
        <v>45839</v>
      </c>
      <c r="W69" s="288">
        <v>45870</v>
      </c>
      <c r="X69" s="288">
        <v>45901</v>
      </c>
      <c r="Y69" s="289" t="s">
        <v>320</v>
      </c>
    </row>
    <row r="70" spans="2:25" s="293" customFormat="1" ht="63" x14ac:dyDescent="0.25">
      <c r="B70" s="282"/>
      <c r="C70" s="290" t="s">
        <v>325</v>
      </c>
      <c r="D70" s="290" t="s">
        <v>326</v>
      </c>
      <c r="E70" s="290" t="s">
        <v>325</v>
      </c>
      <c r="F70" s="290" t="s">
        <v>326</v>
      </c>
      <c r="G70" s="290" t="s">
        <v>325</v>
      </c>
      <c r="H70" s="290" t="s">
        <v>326</v>
      </c>
      <c r="I70" s="290" t="s">
        <v>325</v>
      </c>
      <c r="J70" s="290" t="s">
        <v>326</v>
      </c>
      <c r="K70" s="290" t="s">
        <v>325</v>
      </c>
      <c r="L70" s="290" t="s">
        <v>326</v>
      </c>
      <c r="M70" s="291" t="s">
        <v>325</v>
      </c>
      <c r="N70" s="291" t="s">
        <v>326</v>
      </c>
      <c r="O70" s="290" t="s">
        <v>325</v>
      </c>
      <c r="P70" s="292"/>
      <c r="R70" s="492"/>
      <c r="S70" s="199" t="s">
        <v>327</v>
      </c>
      <c r="T70" s="199" t="s">
        <v>327</v>
      </c>
      <c r="U70" s="199" t="s">
        <v>327</v>
      </c>
      <c r="V70" s="199" t="s">
        <v>327</v>
      </c>
      <c r="W70" s="199" t="s">
        <v>327</v>
      </c>
      <c r="X70" s="199" t="s">
        <v>327</v>
      </c>
      <c r="Y70" s="199"/>
    </row>
    <row r="71" spans="2:25" ht="15.75" x14ac:dyDescent="0.25">
      <c r="B71" s="3"/>
      <c r="C71" s="3"/>
      <c r="D71" s="3"/>
      <c r="E71" s="3"/>
      <c r="F71" s="3"/>
      <c r="G71" s="3" t="s">
        <v>328</v>
      </c>
      <c r="H71" s="3" t="s">
        <v>414</v>
      </c>
      <c r="I71" s="3" t="s">
        <v>328</v>
      </c>
      <c r="J71" s="3"/>
      <c r="K71" s="3" t="s">
        <v>328</v>
      </c>
      <c r="L71" s="3"/>
      <c r="M71" s="284" t="s">
        <v>328</v>
      </c>
      <c r="N71" s="284"/>
      <c r="O71" s="3" t="s">
        <v>328</v>
      </c>
      <c r="P71" s="287"/>
      <c r="R71" s="492"/>
      <c r="S71" s="200" t="s">
        <v>329</v>
      </c>
      <c r="T71" s="200" t="s">
        <v>329</v>
      </c>
      <c r="U71" s="200" t="s">
        <v>329</v>
      </c>
      <c r="V71" s="200" t="s">
        <v>329</v>
      </c>
      <c r="W71" s="200" t="s">
        <v>329</v>
      </c>
      <c r="X71" s="200" t="s">
        <v>329</v>
      </c>
      <c r="Y71" s="200"/>
    </row>
    <row r="72" spans="2:25" ht="15.75" x14ac:dyDescent="0.25">
      <c r="B72" s="3" t="s">
        <v>4</v>
      </c>
      <c r="C72" s="3">
        <v>2800</v>
      </c>
      <c r="D72" s="3">
        <v>236520</v>
      </c>
      <c r="E72" s="3">
        <v>2468</v>
      </c>
      <c r="F72" s="3">
        <v>256260</v>
      </c>
      <c r="G72" s="3">
        <v>2651</v>
      </c>
      <c r="H72" s="3">
        <v>120610</v>
      </c>
      <c r="I72" s="3">
        <v>2968</v>
      </c>
      <c r="J72" s="3">
        <v>174140</v>
      </c>
      <c r="K72" s="3">
        <v>2807</v>
      </c>
      <c r="L72" s="3">
        <v>162210</v>
      </c>
      <c r="M72" s="284">
        <v>2568</v>
      </c>
      <c r="N72" s="284">
        <v>182860</v>
      </c>
      <c r="O72" s="285">
        <f>(C72*D72+E72*F72+G72*H72+I72*J72+K72*L72)/(H72+J72+L72+D72+F72)</f>
        <v>2723.4967254195885</v>
      </c>
      <c r="P72" s="287"/>
      <c r="R72" s="173" t="s">
        <v>4</v>
      </c>
      <c r="S72" s="173">
        <v>40.36</v>
      </c>
      <c r="T72" s="173">
        <v>47.28</v>
      </c>
      <c r="U72" s="268">
        <v>373.06</v>
      </c>
      <c r="V72" s="201">
        <v>230.89</v>
      </c>
      <c r="W72" s="201">
        <v>204.2</v>
      </c>
      <c r="X72" s="57">
        <v>93.74</v>
      </c>
      <c r="Y72" s="57"/>
    </row>
    <row r="73" spans="2:25" ht="15.75" x14ac:dyDescent="0.25">
      <c r="B73" s="3" t="s">
        <v>5</v>
      </c>
      <c r="C73" s="3">
        <v>3718</v>
      </c>
      <c r="D73" s="3">
        <v>160406</v>
      </c>
      <c r="E73" s="3">
        <v>2815</v>
      </c>
      <c r="F73" s="3">
        <v>124890</v>
      </c>
      <c r="G73" s="3">
        <v>3585</v>
      </c>
      <c r="H73" s="3">
        <v>117430</v>
      </c>
      <c r="I73" s="3">
        <v>3800</v>
      </c>
      <c r="J73" s="3">
        <v>92700</v>
      </c>
      <c r="K73" s="3">
        <v>3315</v>
      </c>
      <c r="L73" s="3">
        <v>74530</v>
      </c>
      <c r="M73" s="284">
        <v>3183</v>
      </c>
      <c r="N73" s="284">
        <v>126101</v>
      </c>
      <c r="O73" s="285">
        <f t="shared" ref="O73:O77" si="45">(C73*D73+E73*F73+G73*H73+I73*J73+K73*L73)/(H73+J73+L73+D73+F73)</f>
        <v>3453.3689583055534</v>
      </c>
      <c r="P73" s="287"/>
      <c r="R73" s="173" t="s">
        <v>5</v>
      </c>
      <c r="S73" s="173">
        <v>6.28</v>
      </c>
      <c r="T73" s="173">
        <v>50.22</v>
      </c>
      <c r="U73" s="268">
        <v>324.26</v>
      </c>
      <c r="V73" s="201">
        <v>96.56</v>
      </c>
      <c r="W73" s="201">
        <v>253.37</v>
      </c>
      <c r="X73" s="57">
        <v>157.16999999999999</v>
      </c>
      <c r="Y73" s="57"/>
    </row>
    <row r="74" spans="2:25" ht="15.75" x14ac:dyDescent="0.25">
      <c r="B74" s="3" t="s">
        <v>6</v>
      </c>
      <c r="C74" s="3">
        <v>3830</v>
      </c>
      <c r="D74" s="3">
        <v>250973.6</v>
      </c>
      <c r="E74" s="3">
        <v>3351</v>
      </c>
      <c r="F74" s="3">
        <v>246941.5</v>
      </c>
      <c r="G74" s="3">
        <v>3820</v>
      </c>
      <c r="H74" s="3">
        <v>174830.3</v>
      </c>
      <c r="I74" s="3">
        <v>3619</v>
      </c>
      <c r="J74" s="3">
        <v>83648.22</v>
      </c>
      <c r="K74" s="3">
        <v>3462</v>
      </c>
      <c r="L74" s="3">
        <v>214512</v>
      </c>
      <c r="M74" s="284">
        <v>3296</v>
      </c>
      <c r="N74" s="284">
        <v>236430.8</v>
      </c>
      <c r="O74" s="285">
        <f t="shared" si="45"/>
        <v>3606.8851395463134</v>
      </c>
      <c r="P74" s="287"/>
      <c r="R74" s="173" t="s">
        <v>6</v>
      </c>
      <c r="S74" s="294">
        <v>14.39</v>
      </c>
      <c r="T74" s="294">
        <v>0.36</v>
      </c>
      <c r="U74" s="269">
        <v>1.28</v>
      </c>
      <c r="V74" s="202">
        <v>656.63</v>
      </c>
      <c r="W74" s="202">
        <v>345.64</v>
      </c>
      <c r="X74" s="57">
        <v>167.85</v>
      </c>
      <c r="Y74" s="57"/>
    </row>
    <row r="75" spans="2:25" ht="15.75" x14ac:dyDescent="0.25">
      <c r="B75" s="3" t="s">
        <v>8</v>
      </c>
      <c r="C75" s="3">
        <v>3905</v>
      </c>
      <c r="D75" s="3">
        <v>161781</v>
      </c>
      <c r="E75" s="3">
        <v>3799</v>
      </c>
      <c r="F75" s="3">
        <v>132432</v>
      </c>
      <c r="G75" s="3">
        <v>4458.75</v>
      </c>
      <c r="H75" s="3">
        <v>153270</v>
      </c>
      <c r="I75" s="3">
        <v>4318</v>
      </c>
      <c r="J75" s="3">
        <v>151761</v>
      </c>
      <c r="K75" s="3">
        <v>3910</v>
      </c>
      <c r="L75" s="3">
        <v>167172</v>
      </c>
      <c r="M75" s="284">
        <v>4100</v>
      </c>
      <c r="N75" s="284">
        <v>160438</v>
      </c>
      <c r="O75" s="285">
        <f t="shared" si="45"/>
        <v>4080.2946487286276</v>
      </c>
      <c r="P75" s="287"/>
      <c r="R75" s="173" t="s">
        <v>8</v>
      </c>
      <c r="S75" s="173">
        <v>6.29</v>
      </c>
      <c r="T75" s="173">
        <v>246.19</v>
      </c>
      <c r="U75" s="268">
        <v>3.14</v>
      </c>
      <c r="V75" s="201">
        <v>127.54</v>
      </c>
      <c r="W75" s="201">
        <v>59.71</v>
      </c>
      <c r="X75" s="57">
        <v>51</v>
      </c>
      <c r="Y75" s="57"/>
    </row>
    <row r="76" spans="2:25" ht="15.75" x14ac:dyDescent="0.25">
      <c r="B76" s="3" t="s">
        <v>319</v>
      </c>
      <c r="C76" s="3">
        <v>3912</v>
      </c>
      <c r="D76" s="3">
        <v>187610</v>
      </c>
      <c r="E76" s="3">
        <v>3789</v>
      </c>
      <c r="F76" s="3">
        <v>204822</v>
      </c>
      <c r="G76" s="3">
        <v>4458.75</v>
      </c>
      <c r="H76" s="3">
        <v>199504</v>
      </c>
      <c r="I76" s="3">
        <v>4318</v>
      </c>
      <c r="J76" s="3">
        <v>224748</v>
      </c>
      <c r="K76" s="3">
        <v>3910</v>
      </c>
      <c r="L76" s="3">
        <v>200885</v>
      </c>
      <c r="M76" s="284">
        <v>4100</v>
      </c>
      <c r="N76" s="284">
        <v>196566</v>
      </c>
      <c r="O76" s="285">
        <f t="shared" si="45"/>
        <v>4083.7147672541123</v>
      </c>
      <c r="P76" s="287"/>
      <c r="R76" s="173" t="s">
        <v>319</v>
      </c>
      <c r="S76" s="173">
        <v>107.4</v>
      </c>
      <c r="T76" s="173">
        <v>63.41</v>
      </c>
      <c r="U76" s="268">
        <v>19.329999999999998</v>
      </c>
      <c r="V76" s="201">
        <v>0</v>
      </c>
      <c r="W76" s="201">
        <v>116.87</v>
      </c>
      <c r="X76" s="57">
        <v>39.020000000000003</v>
      </c>
      <c r="Y76" s="57"/>
    </row>
    <row r="77" spans="2:25" ht="15.75" x14ac:dyDescent="0.25">
      <c r="B77" s="3" t="s">
        <v>10</v>
      </c>
      <c r="C77" s="3">
        <v>3582</v>
      </c>
      <c r="D77" s="3">
        <v>351201</v>
      </c>
      <c r="E77" s="3">
        <v>3221</v>
      </c>
      <c r="F77" s="3">
        <v>402879</v>
      </c>
      <c r="G77" s="3">
        <v>3607</v>
      </c>
      <c r="H77" s="3">
        <v>361249</v>
      </c>
      <c r="I77" s="3">
        <v>3024</v>
      </c>
      <c r="J77" s="3">
        <v>327642</v>
      </c>
      <c r="K77" s="3">
        <v>3100</v>
      </c>
      <c r="L77" s="3">
        <v>380388</v>
      </c>
      <c r="M77" s="284">
        <v>3207</v>
      </c>
      <c r="N77" s="284">
        <v>285612</v>
      </c>
      <c r="O77" s="285">
        <f t="shared" si="45"/>
        <v>3306.3662131264332</v>
      </c>
      <c r="P77" s="287"/>
      <c r="R77" s="173" t="s">
        <v>10</v>
      </c>
      <c r="S77" s="173">
        <v>475</v>
      </c>
      <c r="T77" s="173">
        <v>47</v>
      </c>
      <c r="U77" s="268">
        <v>100</v>
      </c>
      <c r="V77" s="201">
        <v>265</v>
      </c>
      <c r="W77" s="201">
        <v>308</v>
      </c>
      <c r="X77" s="57">
        <v>216</v>
      </c>
      <c r="Y77" s="57"/>
    </row>
    <row r="78" spans="2:25" ht="15.75" x14ac:dyDescent="0.25">
      <c r="S78" s="173"/>
      <c r="T78" s="173"/>
      <c r="X78" s="57"/>
      <c r="Y78" s="57"/>
    </row>
    <row r="79" spans="2:25" s="308" customFormat="1" ht="15.75" x14ac:dyDescent="0.25">
      <c r="B79" s="102"/>
      <c r="C79" s="353" t="s">
        <v>38</v>
      </c>
      <c r="D79" s="102"/>
      <c r="E79" s="102"/>
      <c r="F79" s="102"/>
      <c r="G79" s="102"/>
      <c r="H79" s="102"/>
      <c r="I79" s="102"/>
      <c r="J79" s="102"/>
    </row>
    <row r="80" spans="2:25" s="308" customFormat="1" ht="15.75" x14ac:dyDescent="0.25">
      <c r="B80" s="102"/>
      <c r="C80" s="484" t="s">
        <v>77</v>
      </c>
      <c r="D80" s="484" t="s">
        <v>330</v>
      </c>
      <c r="E80" s="484" t="s">
        <v>331</v>
      </c>
      <c r="F80" s="485" t="s">
        <v>76</v>
      </c>
      <c r="G80" s="297" t="s">
        <v>421</v>
      </c>
      <c r="H80" s="297"/>
      <c r="I80" s="297"/>
      <c r="J80" s="297"/>
    </row>
    <row r="81" spans="2:10" s="308" customFormat="1" ht="15.75" x14ac:dyDescent="0.25">
      <c r="B81" s="102"/>
      <c r="C81" s="484"/>
      <c r="D81" s="484"/>
      <c r="E81" s="484"/>
      <c r="F81" s="485"/>
      <c r="G81" s="298" t="s">
        <v>422</v>
      </c>
      <c r="H81" s="298" t="s">
        <v>332</v>
      </c>
      <c r="I81" s="298" t="s">
        <v>333</v>
      </c>
      <c r="J81" s="298" t="s">
        <v>423</v>
      </c>
    </row>
    <row r="82" spans="2:10" s="308" customFormat="1" ht="15.75" x14ac:dyDescent="0.25">
      <c r="B82" s="102"/>
      <c r="C82" s="484"/>
      <c r="D82" s="484"/>
      <c r="E82" s="484"/>
      <c r="F82" s="298" t="s">
        <v>424</v>
      </c>
      <c r="G82" s="298" t="s">
        <v>334</v>
      </c>
      <c r="H82" s="298" t="s">
        <v>334</v>
      </c>
      <c r="I82" s="298" t="s">
        <v>334</v>
      </c>
      <c r="J82" s="298" t="s">
        <v>334</v>
      </c>
    </row>
    <row r="83" spans="2:10" s="308" customFormat="1" ht="47.25" x14ac:dyDescent="0.25">
      <c r="B83" s="102"/>
      <c r="C83" s="354" t="s">
        <v>335</v>
      </c>
      <c r="D83" s="355" t="s">
        <v>336</v>
      </c>
      <c r="E83" s="355" t="s">
        <v>337</v>
      </c>
      <c r="F83" s="356">
        <v>11.082382130011201</v>
      </c>
      <c r="G83" s="299">
        <v>10.975438936952136</v>
      </c>
      <c r="H83" s="299">
        <v>9.3000000000000007</v>
      </c>
      <c r="I83" s="299">
        <v>9.3000000000000007</v>
      </c>
      <c r="J83" s="299">
        <v>9.3000000000000007</v>
      </c>
    </row>
    <row r="84" spans="2:10" s="308" customFormat="1" ht="47.25" x14ac:dyDescent="0.25">
      <c r="B84" s="102"/>
      <c r="C84" s="357" t="s">
        <v>338</v>
      </c>
      <c r="D84" s="358" t="s">
        <v>339</v>
      </c>
      <c r="E84" s="358" t="s">
        <v>340</v>
      </c>
      <c r="F84" s="304">
        <v>2346.13</v>
      </c>
      <c r="G84" s="299">
        <v>2322.4173791760309</v>
      </c>
      <c r="H84" s="299">
        <v>2500</v>
      </c>
      <c r="I84" s="299">
        <v>2500</v>
      </c>
      <c r="J84" s="299">
        <v>2500</v>
      </c>
    </row>
    <row r="85" spans="2:10" s="308" customFormat="1" ht="47.25" x14ac:dyDescent="0.25">
      <c r="B85" s="102"/>
      <c r="C85" s="354" t="s">
        <v>341</v>
      </c>
      <c r="D85" s="355" t="s">
        <v>342</v>
      </c>
      <c r="E85" s="355" t="s">
        <v>343</v>
      </c>
      <c r="F85" s="302">
        <v>0.39406107387591499</v>
      </c>
      <c r="G85" s="299">
        <v>0.61319730460743027</v>
      </c>
      <c r="H85" s="299">
        <v>0.5</v>
      </c>
      <c r="I85" s="299">
        <v>0.5</v>
      </c>
      <c r="J85" s="299">
        <v>0.5</v>
      </c>
    </row>
    <row r="86" spans="2:10" s="308" customFormat="1" ht="63" x14ac:dyDescent="0.25">
      <c r="B86" s="102"/>
      <c r="C86" s="354" t="s">
        <v>344</v>
      </c>
      <c r="D86" s="355" t="s">
        <v>345</v>
      </c>
      <c r="E86" s="355" t="s">
        <v>346</v>
      </c>
      <c r="F86" s="299">
        <v>9819</v>
      </c>
      <c r="G86" s="299">
        <v>9819</v>
      </c>
      <c r="H86" s="299">
        <v>9819</v>
      </c>
      <c r="I86" s="299">
        <v>9819</v>
      </c>
      <c r="J86" s="299">
        <v>9819</v>
      </c>
    </row>
    <row r="87" spans="2:10" s="308" customFormat="1" ht="47.25" x14ac:dyDescent="0.25">
      <c r="B87" s="102"/>
      <c r="C87" s="354" t="s">
        <v>347</v>
      </c>
      <c r="D87" s="355" t="s">
        <v>348</v>
      </c>
      <c r="E87" s="355" t="s">
        <v>349</v>
      </c>
      <c r="F87" s="300">
        <f>62502.99/1000000</f>
        <v>6.2502989999999994E-2</v>
      </c>
      <c r="G87" s="300">
        <v>6.2984877873061146E-2</v>
      </c>
      <c r="H87" s="300">
        <f>P62/1000000</f>
        <v>6.1914739078355416E-2</v>
      </c>
      <c r="I87" s="300">
        <f>H87*1.02</f>
        <v>6.3153033859922519E-2</v>
      </c>
      <c r="J87" s="300">
        <f>I87*1.02</f>
        <v>6.4416094537120966E-2</v>
      </c>
    </row>
    <row r="88" spans="2:10" s="308" customFormat="1" ht="63" x14ac:dyDescent="0.25">
      <c r="B88" s="102"/>
      <c r="C88" s="354" t="s">
        <v>350</v>
      </c>
      <c r="D88" s="355" t="s">
        <v>351</v>
      </c>
      <c r="E88" s="355" t="s">
        <v>352</v>
      </c>
      <c r="F88" s="300">
        <v>2907.3668046824541</v>
      </c>
      <c r="G88" s="300">
        <v>2857.4548</v>
      </c>
      <c r="H88" s="300">
        <f>O72</f>
        <v>2723.4967254195885</v>
      </c>
      <c r="I88" s="300">
        <f>H88</f>
        <v>2723.4967254195885</v>
      </c>
      <c r="J88" s="300">
        <f>H88</f>
        <v>2723.4967254195885</v>
      </c>
    </row>
    <row r="89" spans="2:10" s="308" customFormat="1" ht="31.5" x14ac:dyDescent="0.25">
      <c r="B89" s="102"/>
      <c r="C89" s="354" t="s">
        <v>353</v>
      </c>
      <c r="D89" s="355" t="s">
        <v>354</v>
      </c>
      <c r="E89" s="355" t="s">
        <v>355</v>
      </c>
      <c r="F89" s="300">
        <f>4289.02/1000</f>
        <v>4.2890200000000007</v>
      </c>
      <c r="G89" s="300">
        <v>4.4224279398657274</v>
      </c>
      <c r="H89" s="300">
        <f>O62/1000</f>
        <v>4.3028072540905935</v>
      </c>
      <c r="I89" s="300">
        <f>H89*1.02</f>
        <v>4.3888633991724051</v>
      </c>
      <c r="J89" s="300">
        <f>I89*1.02</f>
        <v>4.476640667155853</v>
      </c>
    </row>
    <row r="90" spans="2:10" s="308" customFormat="1" ht="47.25" x14ac:dyDescent="0.25">
      <c r="B90" s="102"/>
      <c r="C90" s="354" t="s">
        <v>356</v>
      </c>
      <c r="D90" s="355"/>
      <c r="E90" s="355" t="s">
        <v>357</v>
      </c>
      <c r="F90" s="300">
        <f>(F84-(F85*F86/1000))/F88</f>
        <v>0.80562958569358667</v>
      </c>
      <c r="G90" s="300">
        <f>(G84-(G85*G86/1000))/G88</f>
        <v>0.81065023140246717</v>
      </c>
      <c r="H90" s="300">
        <f>(H84-(H85*H86/1000))/H88</f>
        <v>0.91613493664678447</v>
      </c>
      <c r="I90" s="300">
        <f>(I84-(I85*I86/1000))/I88</f>
        <v>0.91613493664678447</v>
      </c>
      <c r="J90" s="300">
        <f>(J84-(J85*J86/1000))/J88</f>
        <v>0.91613493664678447</v>
      </c>
    </row>
    <row r="91" spans="2:10" s="308" customFormat="1" ht="15.75" x14ac:dyDescent="0.25">
      <c r="B91" s="102"/>
      <c r="C91" s="359" t="s">
        <v>78</v>
      </c>
      <c r="D91" s="355"/>
      <c r="E91" s="360" t="s">
        <v>358</v>
      </c>
      <c r="F91" s="300">
        <f>IFERROR(((F84-F86*F85/1000)*F89/F88+F87*F85)*100/(100-F83),0)</f>
        <v>3.9137254060040663</v>
      </c>
      <c r="G91" s="361">
        <f>IFERROR(((G84-G86*G85/1000)*G89/G88+G87*G85)*100/(100-G83),0)</f>
        <v>4.0704097238843682</v>
      </c>
      <c r="H91" s="300">
        <f>IFERROR(((H84-H86*H85/1000)*H89/H88+H87*H85)*100/(100-H83),0)</f>
        <v>4.380274995224684</v>
      </c>
      <c r="I91" s="300">
        <f>IFERROR(((I84-I86*I85/1000)*I89/I88+I87*I85)*100/(100-I83),0)</f>
        <v>4.4678804951291777</v>
      </c>
      <c r="J91" s="300">
        <f>IFERROR(((J84-J86*J85/1000)*J89/J88+J87*J85)*100/(100-J83),0)</f>
        <v>4.557238105031761</v>
      </c>
    </row>
    <row r="92" spans="2:10" s="308" customFormat="1" ht="15.75" x14ac:dyDescent="0.25">
      <c r="B92" s="102"/>
      <c r="C92" s="55" t="s">
        <v>359</v>
      </c>
      <c r="D92" s="55"/>
      <c r="E92" s="55"/>
      <c r="F92" s="301">
        <f>IFERROR(((F84-F85*F86/1000)*F89/F88)*100/(100-F83),0)</f>
        <v>3.886025613825796</v>
      </c>
      <c r="G92" s="301">
        <f>IFERROR(((G84-G85*G86/1000)*G89/G88)*100/(100-G83),0)</f>
        <v>4.027026013949043</v>
      </c>
      <c r="H92" s="301">
        <f>IFERROR(((H84-H85*H86/1000)*H89/H88)*100/(100-H83),0)</f>
        <v>4.346143386030441</v>
      </c>
      <c r="I92" s="301">
        <f>IFERROR(((I84-I85*I86/1000)*I89/I88)*100/(100-I83),0)</f>
        <v>4.4330662537510515</v>
      </c>
      <c r="J92" s="301">
        <f>IFERROR(((J84-J85*J86/1000)*J89/J88)*100/(100-J83),0)</f>
        <v>4.5217275788260709</v>
      </c>
    </row>
    <row r="93" spans="2:10" s="308" customFormat="1" ht="15.75" x14ac:dyDescent="0.25">
      <c r="B93" s="102"/>
      <c r="C93" s="55" t="s">
        <v>68</v>
      </c>
      <c r="D93" s="55"/>
      <c r="E93" s="55"/>
      <c r="F93" s="301">
        <f>IFERROR((F85*F87)*100/(100-F83),0)</f>
        <v>2.7699792178270455E-2</v>
      </c>
      <c r="G93" s="301">
        <f>IFERROR((G85*G87)*100/(100-G83),0)</f>
        <v>4.3383709935325344E-2</v>
      </c>
      <c r="H93" s="301">
        <f>IFERROR((H85*H87)*100/(100-H83),0)</f>
        <v>3.4131609194242234E-2</v>
      </c>
      <c r="I93" s="301">
        <f>IFERROR((I85*I87)*100/(100-I83),0)</f>
        <v>3.4814241378127074E-2</v>
      </c>
      <c r="J93" s="301">
        <f>IFERROR((J85*J87)*100/(100-J83),0)</f>
        <v>3.5510526205689619E-2</v>
      </c>
    </row>
    <row r="94" spans="2:10" s="308" customFormat="1" ht="15.75" x14ac:dyDescent="0.25">
      <c r="B94" s="102"/>
      <c r="C94" s="55" t="s">
        <v>19</v>
      </c>
      <c r="D94" s="55"/>
      <c r="E94" s="55"/>
      <c r="F94" s="301">
        <f>F92+F93</f>
        <v>3.9137254060040663</v>
      </c>
      <c r="G94" s="301">
        <f>G92+G93</f>
        <v>4.0704097238843682</v>
      </c>
      <c r="H94" s="301">
        <f>H92+H93</f>
        <v>4.3802749952246831</v>
      </c>
      <c r="I94" s="301">
        <f>I92+I93</f>
        <v>4.4678804951291786</v>
      </c>
      <c r="J94" s="301">
        <f>J92+J93</f>
        <v>4.557238105031761</v>
      </c>
    </row>
    <row r="95" spans="2:10" s="308" customFormat="1" ht="15.75" x14ac:dyDescent="0.25">
      <c r="B95" s="102"/>
      <c r="C95" s="102">
        <v>4</v>
      </c>
      <c r="D95" s="102"/>
      <c r="E95" s="102"/>
      <c r="F95" s="102"/>
      <c r="G95" s="102"/>
      <c r="H95" s="102"/>
      <c r="I95" s="102"/>
      <c r="J95" s="102"/>
    </row>
    <row r="96" spans="2:10" s="308" customFormat="1" ht="15.75" x14ac:dyDescent="0.25">
      <c r="B96" s="102"/>
      <c r="C96" s="353" t="s">
        <v>39</v>
      </c>
      <c r="D96" s="102"/>
      <c r="E96" s="102"/>
      <c r="F96" s="102"/>
      <c r="G96" s="302"/>
      <c r="H96" s="302"/>
      <c r="I96" s="302"/>
      <c r="J96" s="302"/>
    </row>
    <row r="97" spans="2:10" s="308" customFormat="1" ht="15.75" x14ac:dyDescent="0.25">
      <c r="B97" s="102"/>
      <c r="C97" s="484" t="s">
        <v>77</v>
      </c>
      <c r="D97" s="484" t="s">
        <v>330</v>
      </c>
      <c r="E97" s="484" t="s">
        <v>331</v>
      </c>
      <c r="F97" s="485" t="s">
        <v>76</v>
      </c>
      <c r="G97" s="303" t="s">
        <v>421</v>
      </c>
      <c r="H97" s="303"/>
      <c r="I97" s="303"/>
      <c r="J97" s="102"/>
    </row>
    <row r="98" spans="2:10" s="308" customFormat="1" ht="15.75" x14ac:dyDescent="0.25">
      <c r="B98" s="102"/>
      <c r="C98" s="484"/>
      <c r="D98" s="484"/>
      <c r="E98" s="484"/>
      <c r="F98" s="485"/>
      <c r="G98" s="298" t="s">
        <v>422</v>
      </c>
      <c r="H98" s="298" t="s">
        <v>332</v>
      </c>
      <c r="I98" s="298" t="s">
        <v>333</v>
      </c>
      <c r="J98" s="102"/>
    </row>
    <row r="99" spans="2:10" s="308" customFormat="1" ht="15.75" x14ac:dyDescent="0.25">
      <c r="B99" s="102"/>
      <c r="C99" s="484"/>
      <c r="D99" s="484"/>
      <c r="E99" s="484"/>
      <c r="F99" s="298" t="s">
        <v>424</v>
      </c>
      <c r="G99" s="298" t="s">
        <v>334</v>
      </c>
      <c r="H99" s="298" t="s">
        <v>334</v>
      </c>
      <c r="I99" s="298" t="s">
        <v>334</v>
      </c>
      <c r="J99" s="102"/>
    </row>
    <row r="100" spans="2:10" s="308" customFormat="1" ht="47.25" x14ac:dyDescent="0.25">
      <c r="B100" s="102"/>
      <c r="C100" s="354" t="s">
        <v>335</v>
      </c>
      <c r="D100" s="355" t="s">
        <v>336</v>
      </c>
      <c r="E100" s="355" t="s">
        <v>337</v>
      </c>
      <c r="F100" s="356">
        <v>4.9776576686615659</v>
      </c>
      <c r="G100" s="299">
        <v>4.9578155486009408</v>
      </c>
      <c r="H100" s="299">
        <v>5.25</v>
      </c>
      <c r="I100" s="299">
        <v>5.25</v>
      </c>
      <c r="J100" s="302"/>
    </row>
    <row r="101" spans="2:10" s="308" customFormat="1" ht="47.25" x14ac:dyDescent="0.25">
      <c r="B101" s="102"/>
      <c r="C101" s="357" t="s">
        <v>338</v>
      </c>
      <c r="D101" s="358" t="s">
        <v>339</v>
      </c>
      <c r="E101" s="358" t="s">
        <v>340</v>
      </c>
      <c r="F101" s="300">
        <v>2280.776665684717</v>
      </c>
      <c r="G101" s="299">
        <v>2275.6433416740865</v>
      </c>
      <c r="H101" s="299">
        <v>2450</v>
      </c>
      <c r="I101" s="299">
        <v>2450</v>
      </c>
      <c r="J101" s="302"/>
    </row>
    <row r="102" spans="2:10" s="308" customFormat="1" ht="47.25" x14ac:dyDescent="0.25">
      <c r="B102" s="102"/>
      <c r="C102" s="354" t="s">
        <v>341</v>
      </c>
      <c r="D102" s="355" t="s">
        <v>342</v>
      </c>
      <c r="E102" s="355" t="s">
        <v>343</v>
      </c>
      <c r="F102" s="356">
        <v>0.39550985900650709</v>
      </c>
      <c r="G102" s="299">
        <v>0.12658314455196615</v>
      </c>
      <c r="H102" s="299">
        <v>0.5</v>
      </c>
      <c r="I102" s="299">
        <v>0.5</v>
      </c>
      <c r="J102" s="302"/>
    </row>
    <row r="103" spans="2:10" s="308" customFormat="1" ht="63" x14ac:dyDescent="0.25">
      <c r="B103" s="102"/>
      <c r="C103" s="354" t="s">
        <v>344</v>
      </c>
      <c r="D103" s="355" t="s">
        <v>345</v>
      </c>
      <c r="E103" s="355" t="s">
        <v>346</v>
      </c>
      <c r="F103" s="299">
        <v>9819</v>
      </c>
      <c r="G103" s="299">
        <v>9819</v>
      </c>
      <c r="H103" s="299">
        <v>9819</v>
      </c>
      <c r="I103" s="299">
        <v>9819</v>
      </c>
      <c r="J103" s="302"/>
    </row>
    <row r="104" spans="2:10" s="308" customFormat="1" ht="47.25" x14ac:dyDescent="0.25">
      <c r="B104" s="102"/>
      <c r="C104" s="354" t="s">
        <v>347</v>
      </c>
      <c r="D104" s="355" t="s">
        <v>348</v>
      </c>
      <c r="E104" s="355" t="s">
        <v>349</v>
      </c>
      <c r="F104" s="300">
        <f>62567.46/1000000</f>
        <v>6.2567460000000005E-2</v>
      </c>
      <c r="G104" s="300">
        <v>6.2365808370785501E-2</v>
      </c>
      <c r="H104" s="300">
        <f>P63/1000000</f>
        <v>6.1859101914081213E-2</v>
      </c>
      <c r="I104" s="300">
        <f>H104*1.02</f>
        <v>6.3096283952362844E-2</v>
      </c>
      <c r="J104" s="302"/>
    </row>
    <row r="105" spans="2:10" s="308" customFormat="1" ht="63" x14ac:dyDescent="0.25">
      <c r="B105" s="102"/>
      <c r="C105" s="354" t="s">
        <v>350</v>
      </c>
      <c r="D105" s="355" t="s">
        <v>351</v>
      </c>
      <c r="E105" s="355" t="s">
        <v>352</v>
      </c>
      <c r="F105" s="300">
        <v>3865.8626211529431</v>
      </c>
      <c r="G105" s="304">
        <v>3574.404</v>
      </c>
      <c r="H105" s="304">
        <f>O73</f>
        <v>3453.3689583055534</v>
      </c>
      <c r="I105" s="304">
        <f>H105</f>
        <v>3453.3689583055534</v>
      </c>
      <c r="J105" s="302"/>
    </row>
    <row r="106" spans="2:10" s="308" customFormat="1" ht="31.5" x14ac:dyDescent="0.25">
      <c r="B106" s="102"/>
      <c r="C106" s="354" t="s">
        <v>353</v>
      </c>
      <c r="D106" s="355" t="s">
        <v>354</v>
      </c>
      <c r="E106" s="355" t="s">
        <v>355</v>
      </c>
      <c r="F106" s="300">
        <f>5641.19/1000</f>
        <v>5.6411899999999999</v>
      </c>
      <c r="G106" s="300">
        <v>5.6898992295309094</v>
      </c>
      <c r="H106" s="300">
        <f>O63/1000</f>
        <v>5.71953139533578</v>
      </c>
      <c r="I106" s="300">
        <f>H106*1.02</f>
        <v>5.8339220232424953</v>
      </c>
      <c r="J106" s="302"/>
    </row>
    <row r="107" spans="2:10" s="308" customFormat="1" ht="47.25" x14ac:dyDescent="0.25">
      <c r="B107" s="102"/>
      <c r="C107" s="354" t="s">
        <v>356</v>
      </c>
      <c r="D107" s="355"/>
      <c r="E107" s="355" t="s">
        <v>357</v>
      </c>
      <c r="F107" s="300">
        <f>(F101-(F102*F103/1000))/F105</f>
        <v>0.58897415079382165</v>
      </c>
      <c r="G107" s="300">
        <f>(G101-(G102*G103/1000))/G105</f>
        <v>0.63630200217371358</v>
      </c>
      <c r="H107" s="300">
        <f>(H101-(H102*H103/1000))/H105</f>
        <v>0.70803048545375225</v>
      </c>
      <c r="I107" s="300">
        <f>(I101-(I102*I103/1000))/I105</f>
        <v>0.70803048545375225</v>
      </c>
      <c r="J107" s="302"/>
    </row>
    <row r="108" spans="2:10" s="308" customFormat="1" ht="15.75" x14ac:dyDescent="0.25">
      <c r="B108" s="102"/>
      <c r="C108" s="359" t="s">
        <v>78</v>
      </c>
      <c r="D108" s="355"/>
      <c r="E108" s="360" t="s">
        <v>358</v>
      </c>
      <c r="F108" s="300">
        <f>IFERROR(((F101-F103*F102/1000)*F106/F105+F104*F102)*100/(100-F100),0)</f>
        <v>3.5226043211267641</v>
      </c>
      <c r="G108" s="361">
        <f>(G106*G107)/(100%-G100%)+(G104*G102)/(100%-G100%)</f>
        <v>3.8176613395378198</v>
      </c>
      <c r="H108" s="300">
        <f>(H106*H107)/(100%-H100%)+(H104*H102)/(100%-H100%)</f>
        <v>4.3066302283531508</v>
      </c>
      <c r="I108" s="300">
        <f>(I106*I107)/(100%-I100%)+(I104*I102)/(100%-I100%)</f>
        <v>4.3927628329202131</v>
      </c>
      <c r="J108" s="102"/>
    </row>
    <row r="109" spans="2:10" s="308" customFormat="1" ht="15.75" x14ac:dyDescent="0.25">
      <c r="B109" s="102"/>
      <c r="C109" s="55" t="s">
        <v>359</v>
      </c>
      <c r="D109" s="55"/>
      <c r="E109" s="55"/>
      <c r="F109" s="301">
        <f>IFERROR(((F101-F102*F103/1000)*F106/F105)*100/(100-F100),0)</f>
        <v>3.4965619750049362</v>
      </c>
      <c r="G109" s="301">
        <f>IFERROR(((G101-G102*G103/1000)*G106/G105)*100/(100-G100),0)</f>
        <v>3.8093550698727574</v>
      </c>
      <c r="H109" s="301">
        <f>IFERROR(((H101-H102*H103/1000)*H106/H105)*100/(100-H100),0)</f>
        <v>4.2739869028048219</v>
      </c>
      <c r="I109" s="301">
        <f>IFERROR(((I101-I102*I103/1000)*I106/I105)*100/(100-I100),0)</f>
        <v>4.3594666408609184</v>
      </c>
      <c r="J109" s="302"/>
    </row>
    <row r="110" spans="2:10" s="308" customFormat="1" ht="15.75" x14ac:dyDescent="0.25">
      <c r="B110" s="102"/>
      <c r="C110" s="55" t="s">
        <v>68</v>
      </c>
      <c r="D110" s="55"/>
      <c r="E110" s="55"/>
      <c r="F110" s="301">
        <f>IFERROR((F102*F104)*100/(100-F100),0)</f>
        <v>2.6042346121827823E-2</v>
      </c>
      <c r="G110" s="301">
        <f>IFERROR((G102*G104)*100/(100-G100),0)</f>
        <v>8.3062696650625552E-3</v>
      </c>
      <c r="H110" s="301">
        <f>IFERROR((H102*H104)*100/(100-H100),0)</f>
        <v>3.2643325548327815E-2</v>
      </c>
      <c r="I110" s="301">
        <f>IFERROR((I102*I104)*100/(100-I100),0)</f>
        <v>3.3296192059294377E-2</v>
      </c>
      <c r="J110" s="302"/>
    </row>
    <row r="111" spans="2:10" s="308" customFormat="1" ht="15.75" x14ac:dyDescent="0.25">
      <c r="B111" s="102"/>
      <c r="C111" s="55" t="s">
        <v>19</v>
      </c>
      <c r="D111" s="55"/>
      <c r="E111" s="55"/>
      <c r="F111" s="301">
        <f>F109+F110</f>
        <v>3.5226043211267641</v>
      </c>
      <c r="G111" s="301">
        <f>G109+G110</f>
        <v>3.8176613395378198</v>
      </c>
      <c r="H111" s="301">
        <f>H109+H110</f>
        <v>4.3066302283531499</v>
      </c>
      <c r="I111" s="301">
        <f>I109+I110</f>
        <v>4.3927628329202131</v>
      </c>
      <c r="J111" s="302"/>
    </row>
    <row r="112" spans="2:10" s="308" customFormat="1" ht="15.75" x14ac:dyDescent="0.25">
      <c r="B112" s="102"/>
      <c r="C112" s="102">
        <v>4</v>
      </c>
      <c r="D112" s="102"/>
      <c r="E112" s="102"/>
      <c r="F112" s="102"/>
      <c r="G112" s="102"/>
      <c r="H112" s="102"/>
      <c r="I112" s="102"/>
      <c r="J112" s="102"/>
    </row>
    <row r="113" spans="2:10" s="308" customFormat="1" ht="15.75" x14ac:dyDescent="0.25">
      <c r="B113" s="102"/>
      <c r="C113" s="353" t="s">
        <v>40</v>
      </c>
      <c r="D113" s="102"/>
      <c r="E113" s="102"/>
      <c r="F113" s="102"/>
      <c r="G113" s="102"/>
      <c r="H113" s="102"/>
      <c r="I113" s="102"/>
      <c r="J113" s="102"/>
    </row>
    <row r="114" spans="2:10" s="308" customFormat="1" ht="15.75" x14ac:dyDescent="0.25">
      <c r="B114" s="102"/>
      <c r="C114" s="484" t="s">
        <v>77</v>
      </c>
      <c r="D114" s="484" t="s">
        <v>330</v>
      </c>
      <c r="E114" s="484" t="s">
        <v>331</v>
      </c>
      <c r="F114" s="485" t="s">
        <v>76</v>
      </c>
      <c r="G114" s="303" t="s">
        <v>421</v>
      </c>
      <c r="H114" s="303"/>
      <c r="I114" s="303"/>
      <c r="J114" s="102"/>
    </row>
    <row r="115" spans="2:10" s="308" customFormat="1" ht="15.75" x14ac:dyDescent="0.25">
      <c r="B115" s="102"/>
      <c r="C115" s="484"/>
      <c r="D115" s="484"/>
      <c r="E115" s="484"/>
      <c r="F115" s="485"/>
      <c r="G115" s="298" t="s">
        <v>422</v>
      </c>
      <c r="H115" s="298" t="s">
        <v>332</v>
      </c>
      <c r="I115" s="298" t="s">
        <v>333</v>
      </c>
      <c r="J115" s="102"/>
    </row>
    <row r="116" spans="2:10" s="308" customFormat="1" ht="15.75" x14ac:dyDescent="0.25">
      <c r="B116" s="102"/>
      <c r="C116" s="484"/>
      <c r="D116" s="484"/>
      <c r="E116" s="484"/>
      <c r="F116" s="298" t="s">
        <v>424</v>
      </c>
      <c r="G116" s="298" t="s">
        <v>334</v>
      </c>
      <c r="H116" s="298" t="s">
        <v>334</v>
      </c>
      <c r="I116" s="298" t="s">
        <v>334</v>
      </c>
      <c r="J116" s="102"/>
    </row>
    <row r="117" spans="2:10" s="308" customFormat="1" ht="47.25" x14ac:dyDescent="0.25">
      <c r="B117" s="102"/>
      <c r="C117" s="354" t="s">
        <v>335</v>
      </c>
      <c r="D117" s="355" t="s">
        <v>336</v>
      </c>
      <c r="E117" s="355" t="s">
        <v>337</v>
      </c>
      <c r="F117" s="102">
        <v>4.2363998777846739</v>
      </c>
      <c r="G117" s="299">
        <v>4.5135287644045166</v>
      </c>
      <c r="H117" s="299">
        <v>5.25</v>
      </c>
      <c r="I117" s="299">
        <v>5.25</v>
      </c>
      <c r="J117" s="302"/>
    </row>
    <row r="118" spans="2:10" s="308" customFormat="1" ht="47.25" x14ac:dyDescent="0.25">
      <c r="B118" s="102"/>
      <c r="C118" s="357" t="s">
        <v>338</v>
      </c>
      <c r="D118" s="358" t="s">
        <v>339</v>
      </c>
      <c r="E118" s="358" t="s">
        <v>340</v>
      </c>
      <c r="F118" s="299">
        <v>2124.4405163249266</v>
      </c>
      <c r="G118" s="299">
        <v>2077.1308466748869</v>
      </c>
      <c r="H118" s="299">
        <v>2151</v>
      </c>
      <c r="I118" s="299">
        <v>2151</v>
      </c>
      <c r="J118" s="302"/>
    </row>
    <row r="119" spans="2:10" s="308" customFormat="1" ht="47.25" x14ac:dyDescent="0.25">
      <c r="B119" s="102"/>
      <c r="C119" s="354" t="s">
        <v>341</v>
      </c>
      <c r="D119" s="355" t="s">
        <v>342</v>
      </c>
      <c r="E119" s="355" t="s">
        <v>343</v>
      </c>
      <c r="F119" s="102">
        <v>0.35820676828933862</v>
      </c>
      <c r="G119" s="299">
        <v>0.22602848939398237</v>
      </c>
      <c r="H119" s="299">
        <v>0.5</v>
      </c>
      <c r="I119" s="299">
        <v>0.5</v>
      </c>
      <c r="J119" s="302"/>
    </row>
    <row r="120" spans="2:10" s="308" customFormat="1" ht="63" x14ac:dyDescent="0.25">
      <c r="B120" s="102"/>
      <c r="C120" s="354" t="s">
        <v>344</v>
      </c>
      <c r="D120" s="355" t="s">
        <v>345</v>
      </c>
      <c r="E120" s="355" t="s">
        <v>346</v>
      </c>
      <c r="F120" s="299">
        <v>9819</v>
      </c>
      <c r="G120" s="299">
        <v>9819</v>
      </c>
      <c r="H120" s="299">
        <v>9819</v>
      </c>
      <c r="I120" s="299">
        <v>9819</v>
      </c>
      <c r="J120" s="302"/>
    </row>
    <row r="121" spans="2:10" s="308" customFormat="1" ht="47.25" x14ac:dyDescent="0.25">
      <c r="B121" s="102"/>
      <c r="C121" s="354" t="s">
        <v>347</v>
      </c>
      <c r="D121" s="355" t="s">
        <v>348</v>
      </c>
      <c r="E121" s="355" t="s">
        <v>349</v>
      </c>
      <c r="F121" s="300">
        <f>64798.62/1000000</f>
        <v>6.4798620000000001E-2</v>
      </c>
      <c r="G121" s="300">
        <v>6.5813721251332905E-2</v>
      </c>
      <c r="H121" s="300">
        <f>P64/1000000</f>
        <v>6.3959446026318381E-2</v>
      </c>
      <c r="I121" s="300">
        <f>H121*1.02</f>
        <v>6.5238634946844745E-2</v>
      </c>
      <c r="J121" s="302"/>
    </row>
    <row r="122" spans="2:10" s="308" customFormat="1" ht="63" x14ac:dyDescent="0.25">
      <c r="B122" s="102"/>
      <c r="C122" s="354" t="s">
        <v>350</v>
      </c>
      <c r="D122" s="355" t="s">
        <v>351</v>
      </c>
      <c r="E122" s="355" t="s">
        <v>352</v>
      </c>
      <c r="F122" s="300">
        <v>4185.7916424400237</v>
      </c>
      <c r="G122" s="300">
        <v>3846.1930000000002</v>
      </c>
      <c r="H122" s="300">
        <f>O74</f>
        <v>3606.8851395463134</v>
      </c>
      <c r="I122" s="300">
        <f>H122</f>
        <v>3606.8851395463134</v>
      </c>
      <c r="J122" s="302"/>
    </row>
    <row r="123" spans="2:10" s="308" customFormat="1" ht="31.5" x14ac:dyDescent="0.25">
      <c r="B123" s="102"/>
      <c r="C123" s="354" t="s">
        <v>353</v>
      </c>
      <c r="D123" s="355" t="s">
        <v>354</v>
      </c>
      <c r="E123" s="355" t="s">
        <v>355</v>
      </c>
      <c r="F123" s="300">
        <f>6403.16/1000</f>
        <v>6.4031599999999997</v>
      </c>
      <c r="G123" s="300">
        <v>6.088863943661476</v>
      </c>
      <c r="H123" s="300">
        <f>O64/1000</f>
        <v>5.8159447702269969</v>
      </c>
      <c r="I123" s="300">
        <f>H123*1.02</f>
        <v>5.9322636656315373</v>
      </c>
      <c r="J123" s="302"/>
    </row>
    <row r="124" spans="2:10" s="308" customFormat="1" ht="47.25" x14ac:dyDescent="0.25">
      <c r="B124" s="102"/>
      <c r="C124" s="354" t="s">
        <v>356</v>
      </c>
      <c r="D124" s="355"/>
      <c r="E124" s="355" t="s">
        <v>357</v>
      </c>
      <c r="F124" s="300">
        <f>(F118-(F119*F120/1000))/F122</f>
        <v>0.50669585713796872</v>
      </c>
      <c r="G124" s="300">
        <f>(G118-(G119*G120/1000))/G122</f>
        <v>0.53947149114397719</v>
      </c>
      <c r="H124" s="300">
        <f>(H118-(H119*H120/1000))/H122</f>
        <v>0.59499829270137017</v>
      </c>
      <c r="I124" s="300">
        <f>(I118-(I119*I120/1000))/I122</f>
        <v>0.59499829270137017</v>
      </c>
      <c r="J124" s="302"/>
    </row>
    <row r="125" spans="2:10" s="308" customFormat="1" ht="15.75" x14ac:dyDescent="0.25">
      <c r="B125" s="102"/>
      <c r="C125" s="359" t="s">
        <v>78</v>
      </c>
      <c r="D125" s="355"/>
      <c r="E125" s="360" t="s">
        <v>358</v>
      </c>
      <c r="F125" s="300">
        <f>IFERROR(((F118-F120*F119/1000)*F123/F122+F121*F119)*100/(100-F117),0)</f>
        <v>3.41222128729612</v>
      </c>
      <c r="G125" s="361">
        <f>(G123*G124)/(100%-G117%)+(G121*G119)/(100%-G117%)</f>
        <v>3.4556144387349055</v>
      </c>
      <c r="H125" s="300">
        <f>(H123*H124)/(100%-H117%)+(H121*H119)/(100%-H117%)</f>
        <v>3.6859703765104852</v>
      </c>
      <c r="I125" s="300">
        <f>(I123*I124)/(100%-I117%)+(I121*I119)/(100%-I117%)</f>
        <v>3.7596897840406953</v>
      </c>
      <c r="J125" s="102"/>
    </row>
    <row r="126" spans="2:10" s="308" customFormat="1" ht="15.75" x14ac:dyDescent="0.25">
      <c r="B126" s="102"/>
      <c r="C126" s="55" t="s">
        <v>359</v>
      </c>
      <c r="D126" s="55"/>
      <c r="E126" s="55"/>
      <c r="F126" s="301">
        <f>IFERROR(((F118-F119*F120/1000)*F123/F122)*100/(100-F117),0)</f>
        <v>3.3879831589987441</v>
      </c>
      <c r="G126" s="301">
        <f>IFERROR(((G118-G119*G120/1000)*G123/G122)*100/(100-G117),0)</f>
        <v>3.4400355029931786</v>
      </c>
      <c r="H126" s="301">
        <f>IFERROR(((H118-H119*H120/1000)*H123/H122)*100/(100-H117),0)</f>
        <v>3.6522186899530618</v>
      </c>
      <c r="I126" s="301">
        <f>IFERROR(((I118-I119*I120/1000)*I123/I122)*100/(100-I117),0)</f>
        <v>3.7252630637521231</v>
      </c>
      <c r="J126" s="302"/>
    </row>
    <row r="127" spans="2:10" s="308" customFormat="1" ht="15.75" x14ac:dyDescent="0.25">
      <c r="B127" s="102"/>
      <c r="C127" s="55" t="s">
        <v>68</v>
      </c>
      <c r="D127" s="55"/>
      <c r="E127" s="55"/>
      <c r="F127" s="301">
        <f>IFERROR((F119*F121)*100/(100-F117),0)</f>
        <v>2.4238128297376243E-2</v>
      </c>
      <c r="G127" s="301">
        <f>IFERROR((G119*G121)*100/(100-G117),0)</f>
        <v>1.5578935741726325E-2</v>
      </c>
      <c r="H127" s="301">
        <f>IFERROR((H119*H121)*100/(100-H117),0)</f>
        <v>3.3751686557423943E-2</v>
      </c>
      <c r="I127" s="301">
        <f>IFERROR((I119*I121)*100/(100-I117),0)</f>
        <v>3.4426720288572424E-2</v>
      </c>
      <c r="J127" s="302"/>
    </row>
    <row r="128" spans="2:10" s="308" customFormat="1" ht="15.75" x14ac:dyDescent="0.25">
      <c r="B128" s="102"/>
      <c r="C128" s="55" t="s">
        <v>19</v>
      </c>
      <c r="D128" s="55"/>
      <c r="E128" s="55"/>
      <c r="F128" s="301">
        <f>F126+F127</f>
        <v>3.4122212872961204</v>
      </c>
      <c r="G128" s="301">
        <f>G126+G127</f>
        <v>3.455614438734905</v>
      </c>
      <c r="H128" s="301">
        <f>H126+H127</f>
        <v>3.6859703765104856</v>
      </c>
      <c r="I128" s="301">
        <f>I126+I127</f>
        <v>3.7596897840406958</v>
      </c>
      <c r="J128" s="302"/>
    </row>
    <row r="129" spans="2:10" s="308" customFormat="1" ht="15.75" x14ac:dyDescent="0.25">
      <c r="B129" s="102"/>
      <c r="C129" s="102">
        <v>4</v>
      </c>
      <c r="D129" s="102"/>
      <c r="E129" s="102"/>
      <c r="F129" s="302">
        <f>F126+F127</f>
        <v>3.4122212872961204</v>
      </c>
      <c r="G129" s="102"/>
      <c r="H129" s="102"/>
      <c r="I129" s="102"/>
      <c r="J129" s="102"/>
    </row>
    <row r="130" spans="2:10" s="308" customFormat="1" ht="15.75" x14ac:dyDescent="0.25">
      <c r="B130" s="102"/>
      <c r="C130" s="353" t="s">
        <v>36</v>
      </c>
      <c r="D130" s="102"/>
      <c r="E130" s="102"/>
      <c r="F130" s="102"/>
      <c r="G130" s="102"/>
      <c r="H130" s="102"/>
      <c r="I130" s="102"/>
      <c r="J130" s="102"/>
    </row>
    <row r="131" spans="2:10" s="308" customFormat="1" ht="15.75" x14ac:dyDescent="0.25">
      <c r="B131" s="102"/>
      <c r="C131" s="484" t="s">
        <v>77</v>
      </c>
      <c r="D131" s="484" t="s">
        <v>330</v>
      </c>
      <c r="E131" s="484" t="s">
        <v>331</v>
      </c>
      <c r="F131" s="485" t="s">
        <v>76</v>
      </c>
      <c r="G131" s="303" t="s">
        <v>421</v>
      </c>
      <c r="H131" s="303"/>
      <c r="I131" s="303"/>
      <c r="J131" s="102"/>
    </row>
    <row r="132" spans="2:10" s="308" customFormat="1" ht="15.75" x14ac:dyDescent="0.25">
      <c r="B132" s="102"/>
      <c r="C132" s="484"/>
      <c r="D132" s="484"/>
      <c r="E132" s="484"/>
      <c r="F132" s="485"/>
      <c r="G132" s="298" t="s">
        <v>422</v>
      </c>
      <c r="H132" s="298" t="s">
        <v>332</v>
      </c>
      <c r="I132" s="298" t="s">
        <v>333</v>
      </c>
      <c r="J132" s="102"/>
    </row>
    <row r="133" spans="2:10" s="308" customFormat="1" ht="15.75" x14ac:dyDescent="0.25">
      <c r="B133" s="102"/>
      <c r="C133" s="484"/>
      <c r="D133" s="484"/>
      <c r="E133" s="484"/>
      <c r="F133" s="298" t="s">
        <v>424</v>
      </c>
      <c r="G133" s="298" t="s">
        <v>334</v>
      </c>
      <c r="H133" s="298" t="s">
        <v>334</v>
      </c>
      <c r="I133" s="298" t="s">
        <v>334</v>
      </c>
      <c r="J133" s="102"/>
    </row>
    <row r="134" spans="2:10" s="308" customFormat="1" ht="47.25" x14ac:dyDescent="0.25">
      <c r="B134" s="102"/>
      <c r="C134" s="354" t="s">
        <v>335</v>
      </c>
      <c r="D134" s="355" t="s">
        <v>336</v>
      </c>
      <c r="E134" s="355" t="s">
        <v>337</v>
      </c>
      <c r="F134" s="102">
        <v>6.0617180519701739</v>
      </c>
      <c r="G134" s="299">
        <v>6.4241959160324367</v>
      </c>
      <c r="H134" s="299">
        <v>5.25</v>
      </c>
      <c r="I134" s="299">
        <v>5.25</v>
      </c>
      <c r="J134" s="102">
        <v>2450</v>
      </c>
    </row>
    <row r="135" spans="2:10" s="308" customFormat="1" ht="47.25" x14ac:dyDescent="0.25">
      <c r="B135" s="102"/>
      <c r="C135" s="357" t="s">
        <v>338</v>
      </c>
      <c r="D135" s="358" t="s">
        <v>339</v>
      </c>
      <c r="E135" s="358" t="s">
        <v>340</v>
      </c>
      <c r="F135" s="299">
        <v>2346.7869497398738</v>
      </c>
      <c r="G135" s="299">
        <v>2335.2296255200049</v>
      </c>
      <c r="H135" s="299">
        <v>2450</v>
      </c>
      <c r="I135" s="299">
        <v>2450</v>
      </c>
      <c r="J135" s="308">
        <v>5.25</v>
      </c>
    </row>
    <row r="136" spans="2:10" s="308" customFormat="1" ht="47.25" x14ac:dyDescent="0.25">
      <c r="B136" s="102"/>
      <c r="C136" s="354" t="s">
        <v>341</v>
      </c>
      <c r="D136" s="355" t="s">
        <v>342</v>
      </c>
      <c r="E136" s="355" t="s">
        <v>343</v>
      </c>
      <c r="F136" s="102">
        <v>0.33368225338526997</v>
      </c>
      <c r="G136" s="299">
        <v>0.37299444771216422</v>
      </c>
      <c r="H136" s="299">
        <v>0.5</v>
      </c>
      <c r="I136" s="299">
        <v>0.5</v>
      </c>
      <c r="J136" s="308">
        <v>0.5</v>
      </c>
    </row>
    <row r="137" spans="2:10" s="308" customFormat="1" ht="63" x14ac:dyDescent="0.25">
      <c r="B137" s="102"/>
      <c r="C137" s="354" t="s">
        <v>344</v>
      </c>
      <c r="D137" s="355" t="s">
        <v>345</v>
      </c>
      <c r="E137" s="355" t="s">
        <v>346</v>
      </c>
      <c r="F137" s="299">
        <v>9390</v>
      </c>
      <c r="G137" s="299">
        <v>9390</v>
      </c>
      <c r="H137" s="299">
        <v>9390</v>
      </c>
      <c r="I137" s="299">
        <v>9390</v>
      </c>
      <c r="J137" s="308">
        <v>9390</v>
      </c>
    </row>
    <row r="138" spans="2:10" s="308" customFormat="1" ht="47.25" x14ac:dyDescent="0.25">
      <c r="B138" s="102"/>
      <c r="C138" s="354" t="s">
        <v>347</v>
      </c>
      <c r="D138" s="355" t="s">
        <v>348</v>
      </c>
      <c r="E138" s="355" t="s">
        <v>349</v>
      </c>
      <c r="F138" s="300">
        <v>6.5875778271453911E-2</v>
      </c>
      <c r="G138" s="300">
        <v>6.6395737199721847E-2</v>
      </c>
      <c r="H138" s="300">
        <f>P65/1000000</f>
        <v>6.6931493265292297E-2</v>
      </c>
      <c r="I138" s="300">
        <f>H138*1.02</f>
        <v>6.8270123130598145E-2</v>
      </c>
      <c r="J138" s="308">
        <v>4083.7056359469775</v>
      </c>
    </row>
    <row r="139" spans="2:10" s="308" customFormat="1" ht="63" x14ac:dyDescent="0.25">
      <c r="B139" s="102"/>
      <c r="C139" s="354" t="s">
        <v>350</v>
      </c>
      <c r="D139" s="355" t="s">
        <v>351</v>
      </c>
      <c r="E139" s="355" t="s">
        <v>352</v>
      </c>
      <c r="F139" s="300">
        <v>4023.5841139044555</v>
      </c>
      <c r="G139" s="300">
        <v>3887.6655000000001</v>
      </c>
      <c r="H139" s="300">
        <f>O75</f>
        <v>4080.2946487286276</v>
      </c>
      <c r="I139" s="304">
        <f>H139</f>
        <v>4080.2946487286276</v>
      </c>
      <c r="J139" s="308">
        <v>4627.398506528536</v>
      </c>
    </row>
    <row r="140" spans="2:10" s="308" customFormat="1" ht="31.5" x14ac:dyDescent="0.25">
      <c r="B140" s="102"/>
      <c r="C140" s="354" t="s">
        <v>353</v>
      </c>
      <c r="D140" s="355" t="s">
        <v>354</v>
      </c>
      <c r="E140" s="355" t="s">
        <v>355</v>
      </c>
      <c r="F140" s="300">
        <v>5.1542290905697596</v>
      </c>
      <c r="G140" s="300">
        <v>5.7312726456185086</v>
      </c>
      <c r="H140" s="300">
        <f>O65/1000</f>
        <v>5.271390028222271</v>
      </c>
      <c r="I140" s="300">
        <f>H140*1.02</f>
        <v>5.3768178287867165</v>
      </c>
      <c r="J140" s="308">
        <v>66669.056740437765</v>
      </c>
    </row>
    <row r="141" spans="2:10" s="308" customFormat="1" ht="47.25" x14ac:dyDescent="0.25">
      <c r="B141" s="102"/>
      <c r="C141" s="354" t="s">
        <v>356</v>
      </c>
      <c r="D141" s="355"/>
      <c r="E141" s="355" t="s">
        <v>357</v>
      </c>
      <c r="F141" s="300">
        <f>(F135-(F136*F137/1000))/F139</f>
        <v>0.58247910495558708</v>
      </c>
      <c r="G141" s="300">
        <f>(G135-(G136*G137/1000))/G139</f>
        <v>0.599775677114193</v>
      </c>
      <c r="H141" s="300">
        <f>(H135-(H136*H137/1000))/H139</f>
        <v>0.59929618091721104</v>
      </c>
      <c r="I141" s="300">
        <f>(I135-(I136*I137/1000))/I139</f>
        <v>0.59929618091721104</v>
      </c>
      <c r="J141" s="308">
        <v>0.59879560820327193</v>
      </c>
    </row>
    <row r="142" spans="2:10" s="308" customFormat="1" ht="15.75" x14ac:dyDescent="0.25">
      <c r="B142" s="102"/>
      <c r="C142" s="359" t="s">
        <v>78</v>
      </c>
      <c r="D142" s="355"/>
      <c r="E142" s="360" t="s">
        <v>358</v>
      </c>
      <c r="F142" s="300">
        <f>IFERROR(((F135-F137*F136/1000)*F140/F139+F138*F136)*100/(100-F134),0)</f>
        <v>3.2193609067934177</v>
      </c>
      <c r="G142" s="361">
        <f>(G140*G141)/(100%-G134%)+(G138*G136)/(100%-G134%)</f>
        <v>3.6999341944979718</v>
      </c>
      <c r="H142" s="300">
        <f>(H140*H141)/(100%-H134%)+(H138*H136)/(100%-H134%)</f>
        <v>3.3694877664077283</v>
      </c>
      <c r="I142" s="300">
        <f>(I140*I141)/(100%-I134%)+(I138*I136)/(100%-I134%)</f>
        <v>3.4368775217358829</v>
      </c>
      <c r="J142" s="308">
        <v>292.43967315204929</v>
      </c>
    </row>
    <row r="143" spans="2:10" s="308" customFormat="1" ht="15.75" x14ac:dyDescent="0.25">
      <c r="B143" s="102"/>
      <c r="C143" s="55" t="s">
        <v>359</v>
      </c>
      <c r="D143" s="55"/>
      <c r="E143" s="55"/>
      <c r="F143" s="301">
        <f>IFERROR(((F135-F136*F137/1000)*F140/F139)*100/(100-F134),0)</f>
        <v>3.1959608853311474</v>
      </c>
      <c r="G143" s="301">
        <f>IFERROR(((G135-G136*G137/1000)*G140/G139)*100/(100-G134),0)</f>
        <v>3.6734687619327002</v>
      </c>
      <c r="H143" s="301">
        <f>IFERROR(((H135-H136*H137/1000)*H140/H139)*100/(100-H134),0)</f>
        <v>3.3341677171912152</v>
      </c>
      <c r="I143" s="301">
        <f>IFERROR(((I135-I136*I137/1000)*I140/I139)*100/(100-I134),0)</f>
        <v>3.40085107153504</v>
      </c>
      <c r="J143" s="308">
        <v>3.5181560285191433</v>
      </c>
    </row>
    <row r="144" spans="2:10" s="308" customFormat="1" ht="15.75" x14ac:dyDescent="0.25">
      <c r="B144" s="102"/>
      <c r="C144" s="55" t="s">
        <v>68</v>
      </c>
      <c r="D144" s="55"/>
      <c r="E144" s="55"/>
      <c r="F144" s="301">
        <f>IFERROR((F136*F138)*100/(100-F134),0)</f>
        <v>2.3400021462270489E-2</v>
      </c>
      <c r="G144" s="301">
        <f>IFERROR((G136*G138)*100/(100-G134),0)</f>
        <v>2.6465432565270681E-2</v>
      </c>
      <c r="H144" s="301">
        <f>IFERROR((H136*H138)*100/(100-H134),0)</f>
        <v>3.5320049216513084E-2</v>
      </c>
      <c r="I144" s="301">
        <f>IFERROR((I136*I138)*100/(100-I134),0)</f>
        <v>3.602645020084335E-2</v>
      </c>
      <c r="J144" s="308">
        <v>295.95782918056841</v>
      </c>
    </row>
    <row r="145" spans="2:10" s="308" customFormat="1" ht="15.75" x14ac:dyDescent="0.25">
      <c r="B145" s="102"/>
      <c r="C145" s="55" t="s">
        <v>19</v>
      </c>
      <c r="D145" s="55"/>
      <c r="E145" s="55"/>
      <c r="F145" s="301">
        <f>F143+F144</f>
        <v>3.2193609067934177</v>
      </c>
      <c r="G145" s="301">
        <f>G143+G144</f>
        <v>3.6999341944979709</v>
      </c>
      <c r="H145" s="301">
        <f>H143+H144</f>
        <v>3.3694877664077283</v>
      </c>
      <c r="I145" s="301">
        <f>I143+I144</f>
        <v>3.4368775217358833</v>
      </c>
    </row>
    <row r="146" spans="2:10" s="308" customFormat="1" ht="15.75" x14ac:dyDescent="0.25">
      <c r="B146" s="102"/>
      <c r="C146" s="102">
        <v>4</v>
      </c>
      <c r="D146" s="102"/>
      <c r="E146" s="102"/>
      <c r="F146" s="102"/>
      <c r="G146" s="102"/>
      <c r="H146" s="102"/>
      <c r="I146" s="102"/>
    </row>
    <row r="147" spans="2:10" s="308" customFormat="1" ht="15.75" x14ac:dyDescent="0.25">
      <c r="B147" s="102"/>
      <c r="C147" s="353" t="s">
        <v>37</v>
      </c>
      <c r="D147" s="102"/>
      <c r="E147" s="102"/>
      <c r="F147" s="102"/>
      <c r="G147" s="102"/>
      <c r="H147" s="102"/>
      <c r="I147" s="102"/>
    </row>
    <row r="148" spans="2:10" s="308" customFormat="1" ht="15.75" x14ac:dyDescent="0.25">
      <c r="B148" s="102"/>
      <c r="C148" s="484" t="s">
        <v>77</v>
      </c>
      <c r="D148" s="484" t="s">
        <v>330</v>
      </c>
      <c r="E148" s="484" t="s">
        <v>331</v>
      </c>
      <c r="F148" s="485" t="s">
        <v>76</v>
      </c>
      <c r="G148" s="303" t="s">
        <v>421</v>
      </c>
      <c r="H148" s="303"/>
      <c r="I148" s="303"/>
    </row>
    <row r="149" spans="2:10" s="308" customFormat="1" ht="15.75" x14ac:dyDescent="0.25">
      <c r="B149" s="102"/>
      <c r="C149" s="484"/>
      <c r="D149" s="484"/>
      <c r="E149" s="484"/>
      <c r="F149" s="485"/>
      <c r="G149" s="298" t="s">
        <v>422</v>
      </c>
      <c r="H149" s="298" t="s">
        <v>332</v>
      </c>
      <c r="I149" s="298" t="s">
        <v>333</v>
      </c>
    </row>
    <row r="150" spans="2:10" s="308" customFormat="1" ht="15.75" x14ac:dyDescent="0.25">
      <c r="B150" s="102"/>
      <c r="C150" s="484"/>
      <c r="D150" s="484"/>
      <c r="E150" s="484"/>
      <c r="F150" s="298" t="s">
        <v>424</v>
      </c>
      <c r="G150" s="298" t="s">
        <v>334</v>
      </c>
      <c r="H150" s="298" t="s">
        <v>334</v>
      </c>
      <c r="I150" s="298" t="s">
        <v>334</v>
      </c>
    </row>
    <row r="151" spans="2:10" s="308" customFormat="1" ht="47.25" x14ac:dyDescent="0.25">
      <c r="B151" s="102"/>
      <c r="C151" s="354" t="s">
        <v>335</v>
      </c>
      <c r="D151" s="355" t="s">
        <v>336</v>
      </c>
      <c r="E151" s="355" t="s">
        <v>337</v>
      </c>
      <c r="F151" s="102">
        <v>5.8071405126361757</v>
      </c>
      <c r="G151" s="299">
        <v>6.3259106831149996</v>
      </c>
      <c r="H151" s="299">
        <v>5.25</v>
      </c>
      <c r="I151" s="299">
        <v>5.25</v>
      </c>
    </row>
    <row r="152" spans="2:10" s="308" customFormat="1" ht="47.25" x14ac:dyDescent="0.25">
      <c r="B152" s="102"/>
      <c r="C152" s="357" t="s">
        <v>338</v>
      </c>
      <c r="D152" s="358" t="s">
        <v>339</v>
      </c>
      <c r="E152" s="358" t="s">
        <v>340</v>
      </c>
      <c r="F152" s="299">
        <v>2366.9636625417384</v>
      </c>
      <c r="G152" s="299">
        <v>2371.4051816875794</v>
      </c>
      <c r="H152" s="299">
        <v>2300</v>
      </c>
      <c r="I152" s="299">
        <v>2300</v>
      </c>
    </row>
    <row r="153" spans="2:10" s="308" customFormat="1" ht="47.25" x14ac:dyDescent="0.25">
      <c r="B153" s="102"/>
      <c r="C153" s="354" t="s">
        <v>341</v>
      </c>
      <c r="D153" s="355" t="s">
        <v>342</v>
      </c>
      <c r="E153" s="355" t="s">
        <v>343</v>
      </c>
      <c r="F153" s="102">
        <v>0.29549187025631002</v>
      </c>
      <c r="G153" s="299">
        <v>0.22</v>
      </c>
      <c r="H153" s="299">
        <v>0.5</v>
      </c>
      <c r="I153" s="299">
        <v>0.5</v>
      </c>
    </row>
    <row r="154" spans="2:10" s="308" customFormat="1" ht="63" x14ac:dyDescent="0.25">
      <c r="B154" s="102"/>
      <c r="C154" s="354" t="s">
        <v>344</v>
      </c>
      <c r="D154" s="355" t="s">
        <v>345</v>
      </c>
      <c r="E154" s="355" t="s">
        <v>346</v>
      </c>
      <c r="F154" s="299">
        <v>9390</v>
      </c>
      <c r="G154" s="299">
        <v>9390</v>
      </c>
      <c r="H154" s="299">
        <v>9390</v>
      </c>
      <c r="I154" s="299">
        <v>9390</v>
      </c>
      <c r="J154" s="102"/>
    </row>
    <row r="155" spans="2:10" s="308" customFormat="1" ht="47.25" x14ac:dyDescent="0.25">
      <c r="B155" s="102"/>
      <c r="C155" s="354" t="s">
        <v>347</v>
      </c>
      <c r="D155" s="355" t="s">
        <v>348</v>
      </c>
      <c r="E155" s="355" t="s">
        <v>349</v>
      </c>
      <c r="F155" s="300">
        <v>6.5924304135424702E-2</v>
      </c>
      <c r="G155" s="300">
        <v>7.0594456675285314E-2</v>
      </c>
      <c r="H155" s="300">
        <f>P66/1000000</f>
        <v>6.8142126294257518E-2</v>
      </c>
      <c r="I155" s="300">
        <f>H155*1.02</f>
        <v>6.9504968820142676E-2</v>
      </c>
      <c r="J155" s="102"/>
    </row>
    <row r="156" spans="2:10" s="308" customFormat="1" ht="63" x14ac:dyDescent="0.25">
      <c r="B156" s="102"/>
      <c r="C156" s="354" t="s">
        <v>350</v>
      </c>
      <c r="D156" s="355" t="s">
        <v>351</v>
      </c>
      <c r="E156" s="355" t="s">
        <v>352</v>
      </c>
      <c r="F156" s="300">
        <v>4024.2966852766667</v>
      </c>
      <c r="G156" s="300">
        <v>3871.7689999999998</v>
      </c>
      <c r="H156" s="300">
        <f>O76</f>
        <v>4083.7147672541123</v>
      </c>
      <c r="I156" s="300">
        <f>H156</f>
        <v>4083.7147672541123</v>
      </c>
      <c r="J156" s="102"/>
    </row>
    <row r="157" spans="2:10" s="308" customFormat="1" ht="31.5" x14ac:dyDescent="0.25">
      <c r="B157" s="102"/>
      <c r="C157" s="354" t="s">
        <v>353</v>
      </c>
      <c r="D157" s="355" t="s">
        <v>354</v>
      </c>
      <c r="E157" s="355" t="s">
        <v>355</v>
      </c>
      <c r="F157" s="300">
        <v>5.1612283675834094</v>
      </c>
      <c r="G157" s="300">
        <v>5.7153445844049617</v>
      </c>
      <c r="H157" s="300">
        <f>O66/1000</f>
        <v>5.2673739122064456</v>
      </c>
      <c r="I157" s="300">
        <f>H157*1.02</f>
        <v>5.3727213904505744</v>
      </c>
      <c r="J157" s="102"/>
    </row>
    <row r="158" spans="2:10" s="308" customFormat="1" ht="47.25" x14ac:dyDescent="0.25">
      <c r="B158" s="102"/>
      <c r="C158" s="354" t="s">
        <v>356</v>
      </c>
      <c r="D158" s="355"/>
      <c r="E158" s="355" t="s">
        <v>357</v>
      </c>
      <c r="F158" s="300">
        <f>(F152-(F153*F154/1000))/F156</f>
        <v>0.58747880158281518</v>
      </c>
      <c r="G158" s="300">
        <f>(G152-(G153*G154/1000))/G156</f>
        <v>0.61195267116596563</v>
      </c>
      <c r="H158" s="300">
        <f>(H152-(H153*H154/1000))/H156</f>
        <v>0.56206300655600439</v>
      </c>
      <c r="I158" s="300">
        <f>(I152-(I153*I154/1000))/I156</f>
        <v>0.56206300655600439</v>
      </c>
      <c r="J158" s="102"/>
    </row>
    <row r="159" spans="2:10" s="308" customFormat="1" ht="15.75" x14ac:dyDescent="0.25">
      <c r="B159" s="102"/>
      <c r="C159" s="359" t="s">
        <v>78</v>
      </c>
      <c r="D159" s="355"/>
      <c r="E159" s="360" t="s">
        <v>358</v>
      </c>
      <c r="F159" s="300">
        <f>IFERROR(((F152-F154*F153/1000)*F157/F156+F155*F153)*100/(100-F151),0)</f>
        <v>3.2397279035963775</v>
      </c>
      <c r="G159" s="361">
        <f>(G157*G158)/(100%-G151%)+(G155*G153)/(100%-G151%)</f>
        <v>3.750291239709846</v>
      </c>
      <c r="H159" s="300">
        <f>(H157*H158)/(100%-H151%)+(H155*H153)/(100%-H151%)</f>
        <v>3.1605985022654841</v>
      </c>
      <c r="I159" s="300">
        <f>(I157*I158)/(100%-I151%)+(I155*I153)/(100%-I151%)</f>
        <v>3.2238104723107943</v>
      </c>
      <c r="J159" s="102"/>
    </row>
    <row r="160" spans="2:10" s="308" customFormat="1" ht="15.75" x14ac:dyDescent="0.25">
      <c r="B160" s="102"/>
      <c r="C160" s="55" t="s">
        <v>359</v>
      </c>
      <c r="D160" s="55"/>
      <c r="E160" s="55"/>
      <c r="F160" s="301">
        <f>IFERROR(((F152-F153*F154/1000)*F157/F156)*100/(100-F151),0)</f>
        <v>3.2190468285867206</v>
      </c>
      <c r="G160" s="301">
        <f>IFERROR(((G152-G153*G154/1000)*G157/G156)*100/(100-G151),0)</f>
        <v>3.7337116491508979</v>
      </c>
      <c r="H160" s="301">
        <f>IFERROR(((H152-H153*H154/1000)*H157/H156)*100/(100-H151),0)</f>
        <v>3.1246395965693057</v>
      </c>
      <c r="I160" s="301">
        <f>IFERROR(((I152-I153*I154/1000)*I157/I156)*100/(100-I151),0)</f>
        <v>3.1871323885006921</v>
      </c>
      <c r="J160" s="102"/>
    </row>
    <row r="161" spans="2:10" s="308" customFormat="1" ht="15.75" x14ac:dyDescent="0.25">
      <c r="B161" s="102"/>
      <c r="C161" s="55" t="s">
        <v>68</v>
      </c>
      <c r="D161" s="55"/>
      <c r="E161" s="55"/>
      <c r="F161" s="301">
        <f>IFERROR((F153*F155)*100/(100-F151),0)</f>
        <v>2.06810750096569E-2</v>
      </c>
      <c r="G161" s="301">
        <f>IFERROR((G153*G155)*100/(100-G151),0)</f>
        <v>1.6579590558947987E-2</v>
      </c>
      <c r="H161" s="301">
        <f>IFERROR((H153*H155)*100/(100-H151),0)</f>
        <v>3.5958905696178108E-2</v>
      </c>
      <c r="I161" s="301">
        <f>IFERROR((I153*I155)*100/(100-I151),0)</f>
        <v>3.6678083810101673E-2</v>
      </c>
      <c r="J161" s="102"/>
    </row>
    <row r="162" spans="2:10" s="308" customFormat="1" ht="15.75" x14ac:dyDescent="0.25">
      <c r="B162" s="102"/>
      <c r="C162" s="55" t="s">
        <v>19</v>
      </c>
      <c r="D162" s="55"/>
      <c r="E162" s="55"/>
      <c r="F162" s="301">
        <f>F160+F161</f>
        <v>3.2397279035963775</v>
      </c>
      <c r="G162" s="301">
        <f>G160+G161</f>
        <v>3.750291239709846</v>
      </c>
      <c r="H162" s="301">
        <f>H160+H161</f>
        <v>3.1605985022654837</v>
      </c>
      <c r="I162" s="301">
        <f>I160+I161</f>
        <v>3.2238104723107939</v>
      </c>
      <c r="J162" s="102"/>
    </row>
    <row r="163" spans="2:10" s="308" customFormat="1" ht="15.75" x14ac:dyDescent="0.25">
      <c r="B163" s="102"/>
      <c r="C163" s="102">
        <v>4</v>
      </c>
      <c r="D163" s="102"/>
      <c r="E163" s="102"/>
      <c r="F163" s="102"/>
      <c r="G163" s="102"/>
      <c r="H163" s="102"/>
      <c r="I163" s="102"/>
      <c r="J163" s="102"/>
    </row>
    <row r="164" spans="2:10" s="308" customFormat="1" ht="15.75" x14ac:dyDescent="0.25">
      <c r="B164" s="102"/>
      <c r="C164" s="353" t="s">
        <v>10</v>
      </c>
      <c r="D164" s="102"/>
      <c r="E164" s="102"/>
      <c r="F164" s="102"/>
      <c r="G164" s="102"/>
      <c r="H164" s="102"/>
      <c r="I164" s="102"/>
      <c r="J164" s="102"/>
    </row>
    <row r="165" spans="2:10" s="308" customFormat="1" ht="15.75" x14ac:dyDescent="0.25">
      <c r="B165" s="102"/>
      <c r="C165" s="484" t="s">
        <v>77</v>
      </c>
      <c r="D165" s="484" t="s">
        <v>330</v>
      </c>
      <c r="E165" s="484" t="s">
        <v>331</v>
      </c>
      <c r="F165" s="485" t="s">
        <v>76</v>
      </c>
      <c r="G165" s="303" t="s">
        <v>421</v>
      </c>
      <c r="H165" s="303"/>
      <c r="I165" s="303"/>
      <c r="J165" s="500"/>
    </row>
    <row r="166" spans="2:10" s="308" customFormat="1" ht="15.75" x14ac:dyDescent="0.25">
      <c r="B166" s="102"/>
      <c r="C166" s="484"/>
      <c r="D166" s="484"/>
      <c r="E166" s="484"/>
      <c r="F166" s="485"/>
      <c r="G166" s="298" t="s">
        <v>422</v>
      </c>
      <c r="H166" s="298" t="s">
        <v>332</v>
      </c>
      <c r="I166" s="298" t="s">
        <v>333</v>
      </c>
      <c r="J166" s="500"/>
    </row>
    <row r="167" spans="2:10" s="308" customFormat="1" ht="15.75" x14ac:dyDescent="0.25">
      <c r="B167" s="102"/>
      <c r="C167" s="484"/>
      <c r="D167" s="484"/>
      <c r="E167" s="484"/>
      <c r="F167" s="298" t="s">
        <v>424</v>
      </c>
      <c r="G167" s="298" t="s">
        <v>334</v>
      </c>
      <c r="H167" s="298" t="s">
        <v>334</v>
      </c>
      <c r="I167" s="298" t="s">
        <v>334</v>
      </c>
      <c r="J167" s="102"/>
    </row>
    <row r="168" spans="2:10" s="308" customFormat="1" ht="47.25" x14ac:dyDescent="0.25">
      <c r="B168" s="102"/>
      <c r="C168" s="354" t="s">
        <v>335</v>
      </c>
      <c r="D168" s="355" t="s">
        <v>336</v>
      </c>
      <c r="E168" s="355" t="s">
        <v>337</v>
      </c>
      <c r="F168" s="102">
        <v>9.0370851215009598</v>
      </c>
      <c r="G168" s="299">
        <v>9.9652471040972248</v>
      </c>
      <c r="H168" s="299">
        <v>8.5</v>
      </c>
      <c r="I168" s="299">
        <v>8.5</v>
      </c>
      <c r="J168" s="302"/>
    </row>
    <row r="169" spans="2:10" s="308" customFormat="1" ht="47.25" x14ac:dyDescent="0.25">
      <c r="B169" s="102"/>
      <c r="C169" s="357" t="s">
        <v>338</v>
      </c>
      <c r="D169" s="358" t="s">
        <v>339</v>
      </c>
      <c r="E169" s="358" t="s">
        <v>340</v>
      </c>
      <c r="F169" s="299">
        <v>2473.6721009034895</v>
      </c>
      <c r="G169" s="299">
        <v>2379.1888103090446</v>
      </c>
      <c r="H169" s="299">
        <v>2318.4</v>
      </c>
      <c r="I169" s="299">
        <v>2318.4</v>
      </c>
      <c r="J169" s="302"/>
    </row>
    <row r="170" spans="2:10" s="308" customFormat="1" ht="47.25" x14ac:dyDescent="0.25">
      <c r="B170" s="102"/>
      <c r="C170" s="354" t="s">
        <v>341</v>
      </c>
      <c r="D170" s="355" t="s">
        <v>342</v>
      </c>
      <c r="E170" s="355" t="s">
        <v>343</v>
      </c>
      <c r="F170" s="302">
        <v>0.39992447309123785</v>
      </c>
      <c r="G170" s="299">
        <v>0.29309219390289482</v>
      </c>
      <c r="H170" s="299">
        <v>0.5</v>
      </c>
      <c r="I170" s="299">
        <v>0.5</v>
      </c>
      <c r="J170" s="302"/>
    </row>
    <row r="171" spans="2:10" s="308" customFormat="1" ht="63" x14ac:dyDescent="0.25">
      <c r="B171" s="102"/>
      <c r="C171" s="354" t="s">
        <v>344</v>
      </c>
      <c r="D171" s="355" t="s">
        <v>345</v>
      </c>
      <c r="E171" s="355" t="s">
        <v>346</v>
      </c>
      <c r="F171" s="299">
        <v>9819</v>
      </c>
      <c r="G171" s="299">
        <v>9819</v>
      </c>
      <c r="H171" s="299">
        <v>9819</v>
      </c>
      <c r="I171" s="299">
        <v>9819</v>
      </c>
      <c r="J171" s="302"/>
    </row>
    <row r="172" spans="2:10" s="308" customFormat="1" ht="47.25" x14ac:dyDescent="0.25">
      <c r="B172" s="102"/>
      <c r="C172" s="354" t="s">
        <v>347</v>
      </c>
      <c r="D172" s="355" t="s">
        <v>348</v>
      </c>
      <c r="E172" s="355" t="s">
        <v>349</v>
      </c>
      <c r="F172" s="300">
        <f>64828.63/1000000</f>
        <v>6.4828629999999998E-2</v>
      </c>
      <c r="G172" s="300">
        <v>6.5249661740243103E-2</v>
      </c>
      <c r="H172" s="300">
        <f>P67/1000000</f>
        <v>6.1544178317991638E-2</v>
      </c>
      <c r="I172" s="300">
        <f>H172*1.02</f>
        <v>6.2775061884351474E-2</v>
      </c>
      <c r="J172" s="302"/>
    </row>
    <row r="173" spans="2:10" s="308" customFormat="1" ht="63" x14ac:dyDescent="0.25">
      <c r="B173" s="102"/>
      <c r="C173" s="354" t="s">
        <v>350</v>
      </c>
      <c r="D173" s="355" t="s">
        <v>351</v>
      </c>
      <c r="E173" s="355" t="s">
        <v>352</v>
      </c>
      <c r="F173" s="300">
        <v>3287.6485232412406</v>
      </c>
      <c r="G173" s="300">
        <v>3147.5808000000002</v>
      </c>
      <c r="H173" s="300">
        <f>O77</f>
        <v>3306.3662131264332</v>
      </c>
      <c r="I173" s="300">
        <f>H173</f>
        <v>3306.3662131264332</v>
      </c>
      <c r="J173" s="302"/>
    </row>
    <row r="174" spans="2:10" s="308" customFormat="1" ht="31.5" x14ac:dyDescent="0.25">
      <c r="B174" s="102"/>
      <c r="C174" s="354" t="s">
        <v>353</v>
      </c>
      <c r="D174" s="355" t="s">
        <v>354</v>
      </c>
      <c r="E174" s="355" t="s">
        <v>355</v>
      </c>
      <c r="F174" s="300">
        <f>4344.81/1000</f>
        <v>4.3448100000000007</v>
      </c>
      <c r="G174" s="300">
        <v>4.6948746901294296</v>
      </c>
      <c r="H174" s="300">
        <f>O67/1000</f>
        <v>5.2015892943134077</v>
      </c>
      <c r="I174" s="300">
        <f>H174*1.02</f>
        <v>5.3056210801996757</v>
      </c>
      <c r="J174" s="302"/>
    </row>
    <row r="175" spans="2:10" s="308" customFormat="1" ht="47.25" x14ac:dyDescent="0.25">
      <c r="B175" s="102"/>
      <c r="C175" s="354" t="s">
        <v>356</v>
      </c>
      <c r="D175" s="355"/>
      <c r="E175" s="355" t="s">
        <v>357</v>
      </c>
      <c r="F175" s="300">
        <f>(F169-(F170*F171/1000))/F173</f>
        <v>0.75121936698614111</v>
      </c>
      <c r="G175" s="300">
        <f>(G169-(G170*G171/1000))/G173</f>
        <v>0.75496423731429296</v>
      </c>
      <c r="H175" s="300">
        <f>(H169-(H170*H171/1000))/H173</f>
        <v>0.6997078819688306</v>
      </c>
      <c r="I175" s="300">
        <f>(I169-(I170*I171/1000))/I173</f>
        <v>0.6997078819688306</v>
      </c>
      <c r="J175" s="302"/>
    </row>
    <row r="176" spans="2:10" s="308" customFormat="1" ht="15.75" x14ac:dyDescent="0.25">
      <c r="B176" s="102"/>
      <c r="C176" s="359" t="s">
        <v>78</v>
      </c>
      <c r="D176" s="355"/>
      <c r="E176" s="360" t="s">
        <v>358</v>
      </c>
      <c r="F176" s="300">
        <f>IFERROR(((F169-F171*F170/1000)*F174/F173+F172*F170)*100/(100-F168),0)</f>
        <v>3.6166738697449694</v>
      </c>
      <c r="G176" s="361">
        <f>(G174*G175)/(100%-G168%)+(G172*G170)/(100%-G168%)</f>
        <v>3.9580123692356808</v>
      </c>
      <c r="H176" s="300">
        <f>(H174*H175)/(100%-H168%)+(H172*H170)/(100%-H168%)</f>
        <v>4.011327996890464</v>
      </c>
      <c r="I176" s="300">
        <f>(I174*I175)/(100%-I168%)+(I172*I170)/(100%-I168%)</f>
        <v>4.0915545568282727</v>
      </c>
      <c r="J176" s="102"/>
    </row>
    <row r="177" spans="2:10" s="308" customFormat="1" ht="15.75" x14ac:dyDescent="0.25">
      <c r="B177" s="102"/>
      <c r="C177" s="55" t="s">
        <v>359</v>
      </c>
      <c r="D177" s="55"/>
      <c r="E177" s="55"/>
      <c r="F177" s="301">
        <f>IFERROR(((F169-F170*F171/1000)*F174/F173)*100/(100-F168),0)</f>
        <v>3.5881715336791036</v>
      </c>
      <c r="G177" s="301">
        <f>IFERROR(((G169-G170*G171/1000)*G174/G173)*100/(100-G168),0)</f>
        <v>3.9367714973548185</v>
      </c>
      <c r="H177" s="301">
        <f>IFERROR(((H169-H170*H171/1000)*H174/H173)*100/(100-H168),0)</f>
        <v>3.9776972983560421</v>
      </c>
      <c r="I177" s="301">
        <f>IFERROR(((I169-I170*I171/1000)*I174/I173)*100/(100-I168),0)</f>
        <v>4.0572512443231634</v>
      </c>
      <c r="J177" s="102"/>
    </row>
    <row r="178" spans="2:10" s="308" customFormat="1" ht="15.75" x14ac:dyDescent="0.25">
      <c r="B178" s="102"/>
      <c r="C178" s="55" t="s">
        <v>68</v>
      </c>
      <c r="D178" s="55"/>
      <c r="E178" s="55"/>
      <c r="F178" s="301">
        <f>IFERROR((F170*F172)*100/(100-F168),0)</f>
        <v>2.8502336065865337E-2</v>
      </c>
      <c r="G178" s="301">
        <f>IFERROR((G170*G172)*100/(100-G168),0)</f>
        <v>2.124087188086226E-2</v>
      </c>
      <c r="H178" s="301">
        <f>IFERROR((H170*H172)*100/(100-H168),0)</f>
        <v>3.363069853442166E-2</v>
      </c>
      <c r="I178" s="301">
        <f>IFERROR((I170*I172)*100/(100-I168),0)</f>
        <v>3.4303312505110095E-2</v>
      </c>
      <c r="J178" s="302"/>
    </row>
    <row r="179" spans="2:10" s="308" customFormat="1" ht="15.75" x14ac:dyDescent="0.25">
      <c r="B179" s="102"/>
      <c r="C179" s="55" t="s">
        <v>19</v>
      </c>
      <c r="D179" s="55"/>
      <c r="E179" s="55"/>
      <c r="F179" s="301">
        <f>F177+F178</f>
        <v>3.616673869744969</v>
      </c>
      <c r="G179" s="301">
        <f>G177+G178</f>
        <v>3.9580123692356808</v>
      </c>
      <c r="H179" s="301">
        <f>H177+H178</f>
        <v>4.011327996890464</v>
      </c>
      <c r="I179" s="301">
        <f>I177+I178</f>
        <v>4.0915545568282736</v>
      </c>
      <c r="J179" s="362"/>
    </row>
    <row r="181" spans="2:10" ht="15.75" x14ac:dyDescent="0.25">
      <c r="C181" s="353" t="s">
        <v>40</v>
      </c>
      <c r="D181" s="102"/>
      <c r="E181" s="102"/>
      <c r="F181" s="102"/>
      <c r="G181" s="102"/>
    </row>
    <row r="182" spans="2:10" ht="15.75" x14ac:dyDescent="0.25">
      <c r="C182" s="484" t="s">
        <v>77</v>
      </c>
      <c r="D182" s="484" t="s">
        <v>330</v>
      </c>
      <c r="E182" s="484" t="s">
        <v>331</v>
      </c>
      <c r="F182" s="485" t="s">
        <v>76</v>
      </c>
      <c r="G182" s="303" t="s">
        <v>421</v>
      </c>
    </row>
    <row r="183" spans="2:10" ht="15.75" x14ac:dyDescent="0.25">
      <c r="C183" s="484"/>
      <c r="D183" s="484"/>
      <c r="E183" s="484"/>
      <c r="F183" s="485"/>
      <c r="G183" s="298" t="s">
        <v>422</v>
      </c>
    </row>
    <row r="184" spans="2:10" ht="15.75" x14ac:dyDescent="0.25">
      <c r="C184" s="484"/>
      <c r="D184" s="484"/>
      <c r="E184" s="484"/>
      <c r="F184" s="298" t="s">
        <v>424</v>
      </c>
      <c r="G184" s="298" t="s">
        <v>334</v>
      </c>
    </row>
    <row r="185" spans="2:10" ht="47.25" x14ac:dyDescent="0.25">
      <c r="C185" s="354" t="s">
        <v>335</v>
      </c>
      <c r="D185" s="355" t="s">
        <v>336</v>
      </c>
      <c r="E185" s="355" t="s">
        <v>337</v>
      </c>
      <c r="F185" s="102">
        <v>4.2363998777846739</v>
      </c>
      <c r="G185" s="299">
        <v>23.464815089793962</v>
      </c>
    </row>
    <row r="186" spans="2:10" ht="47.25" x14ac:dyDescent="0.25">
      <c r="C186" s="357" t="s">
        <v>338</v>
      </c>
      <c r="D186" s="358" t="s">
        <v>339</v>
      </c>
      <c r="E186" s="358" t="s">
        <v>340</v>
      </c>
      <c r="F186" s="299">
        <v>2124.4405163249266</v>
      </c>
      <c r="G186" s="299">
        <v>3634.887661012147</v>
      </c>
    </row>
    <row r="187" spans="2:10" ht="47.25" x14ac:dyDescent="0.25">
      <c r="C187" s="354" t="s">
        <v>341</v>
      </c>
      <c r="D187" s="355" t="s">
        <v>342</v>
      </c>
      <c r="E187" s="355" t="s">
        <v>343</v>
      </c>
      <c r="F187" s="102">
        <v>0.35820676828933862</v>
      </c>
      <c r="G187" s="299">
        <v>17.299175612497102</v>
      </c>
    </row>
    <row r="188" spans="2:10" ht="63" x14ac:dyDescent="0.25">
      <c r="C188" s="354" t="s">
        <v>344</v>
      </c>
      <c r="D188" s="355" t="s">
        <v>345</v>
      </c>
      <c r="E188" s="355" t="s">
        <v>346</v>
      </c>
      <c r="F188" s="299">
        <v>9819</v>
      </c>
      <c r="G188" s="299">
        <v>9381</v>
      </c>
    </row>
    <row r="189" spans="2:10" ht="47.25" x14ac:dyDescent="0.25">
      <c r="C189" s="354" t="s">
        <v>347</v>
      </c>
      <c r="D189" s="355" t="s">
        <v>348</v>
      </c>
      <c r="E189" s="355" t="s">
        <v>349</v>
      </c>
      <c r="F189" s="300">
        <f>64798.62/1000000</f>
        <v>6.4798620000000001E-2</v>
      </c>
      <c r="G189" s="300">
        <v>8.0817547554092692E-2</v>
      </c>
    </row>
    <row r="190" spans="2:10" ht="63" x14ac:dyDescent="0.25">
      <c r="C190" s="354" t="s">
        <v>350</v>
      </c>
      <c r="D190" s="355" t="s">
        <v>351</v>
      </c>
      <c r="E190" s="355" t="s">
        <v>352</v>
      </c>
      <c r="F190" s="300">
        <v>4185.7916424400237</v>
      </c>
      <c r="G190" s="300">
        <v>3575.03</v>
      </c>
    </row>
    <row r="191" spans="2:10" ht="31.5" x14ac:dyDescent="0.25">
      <c r="C191" s="354" t="s">
        <v>353</v>
      </c>
      <c r="D191" s="355" t="s">
        <v>354</v>
      </c>
      <c r="E191" s="355" t="s">
        <v>355</v>
      </c>
      <c r="F191" s="300">
        <f>6403.16/1000</f>
        <v>6.4031599999999997</v>
      </c>
      <c r="G191" s="300">
        <v>5.2831705895100596</v>
      </c>
    </row>
    <row r="192" spans="2:10" ht="47.25" x14ac:dyDescent="0.25">
      <c r="C192" s="354" t="s">
        <v>356</v>
      </c>
      <c r="D192" s="355"/>
      <c r="E192" s="355" t="s">
        <v>357</v>
      </c>
      <c r="F192" s="300">
        <f>(F186-(F187*F188/1000))/F190</f>
        <v>0.50669585713796872</v>
      </c>
      <c r="G192" s="300">
        <f>(G186-(G187*G188/1000))/G190</f>
        <v>0.97134963751110104</v>
      </c>
    </row>
    <row r="193" spans="3:8" ht="15.75" x14ac:dyDescent="0.25">
      <c r="C193" s="359" t="s">
        <v>78</v>
      </c>
      <c r="D193" s="355"/>
      <c r="E193" s="360" t="s">
        <v>358</v>
      </c>
      <c r="F193" s="300">
        <f>IFERROR(((F186-F188*F187/1000)*F191/F190+F189*F187)*100/(100-F185),0)</f>
        <v>3.41222128729612</v>
      </c>
      <c r="G193" s="361">
        <f>(G191*G192)/(100%-G185%)+(G189*G187)/(100%-G185%)</f>
        <v>8.5318703971259708</v>
      </c>
    </row>
    <row r="194" spans="3:8" ht="15.75" x14ac:dyDescent="0.25">
      <c r="C194" s="55" t="s">
        <v>359</v>
      </c>
      <c r="D194" s="55"/>
      <c r="E194" s="55"/>
      <c r="F194" s="301">
        <f>IFERROR(((F186-F187*F188/1000)*F191/F190)*100/(100-F185),0)</f>
        <v>3.3879831589987441</v>
      </c>
      <c r="G194" s="301">
        <f>IFERROR(((G186-G187*G188/1000)*G191/G190)*100/(100-G185),0)</f>
        <v>6.7051589971994376</v>
      </c>
    </row>
    <row r="195" spans="3:8" ht="15.75" x14ac:dyDescent="0.25">
      <c r="C195" s="55" t="s">
        <v>68</v>
      </c>
      <c r="D195" s="55"/>
      <c r="E195" s="55"/>
      <c r="F195" s="301">
        <f>IFERROR((F187*F189)*100/(100-F185),0)</f>
        <v>2.4238128297376243E-2</v>
      </c>
      <c r="G195" s="301">
        <f>IFERROR((G187*G189)*100/(100-G185),0)</f>
        <v>1.8267113999265325</v>
      </c>
    </row>
    <row r="196" spans="3:8" ht="15.75" x14ac:dyDescent="0.25">
      <c r="C196" s="55" t="s">
        <v>19</v>
      </c>
      <c r="D196" s="55"/>
      <c r="E196" s="55"/>
      <c r="F196" s="301">
        <f>F194+F195</f>
        <v>3.4122212872961204</v>
      </c>
      <c r="G196" s="301">
        <f>G194+G195</f>
        <v>8.5318703971259708</v>
      </c>
      <c r="H196">
        <v>6.7051589971994376</v>
      </c>
    </row>
    <row r="197" spans="3:8" x14ac:dyDescent="0.25">
      <c r="H197">
        <v>1.827</v>
      </c>
    </row>
    <row r="198" spans="3:8" x14ac:dyDescent="0.25">
      <c r="H198">
        <v>8.532</v>
      </c>
    </row>
  </sheetData>
  <mergeCells count="55">
    <mergeCell ref="AB13:AF13"/>
    <mergeCell ref="W13:AA13"/>
    <mergeCell ref="R13:V13"/>
    <mergeCell ref="M13:Q13"/>
    <mergeCell ref="H13:L13"/>
    <mergeCell ref="C165:C167"/>
    <mergeCell ref="D165:D167"/>
    <mergeCell ref="E165:E167"/>
    <mergeCell ref="F165:F166"/>
    <mergeCell ref="J165:J166"/>
    <mergeCell ref="F131:F132"/>
    <mergeCell ref="C148:C150"/>
    <mergeCell ref="D148:D150"/>
    <mergeCell ref="E148:E150"/>
    <mergeCell ref="F148:F149"/>
    <mergeCell ref="R69:R71"/>
    <mergeCell ref="A40:A45"/>
    <mergeCell ref="A29:A34"/>
    <mergeCell ref="C80:C82"/>
    <mergeCell ref="D80:D82"/>
    <mergeCell ref="E80:E82"/>
    <mergeCell ref="F80:F81"/>
    <mergeCell ref="A53:A58"/>
    <mergeCell ref="M59:N59"/>
    <mergeCell ref="O59:P59"/>
    <mergeCell ref="C69:D69"/>
    <mergeCell ref="E69:F69"/>
    <mergeCell ref="G69:H69"/>
    <mergeCell ref="I69:J69"/>
    <mergeCell ref="K69:L69"/>
    <mergeCell ref="M69:N69"/>
    <mergeCell ref="G4:I4"/>
    <mergeCell ref="J4:L4"/>
    <mergeCell ref="C59:D59"/>
    <mergeCell ref="E59:F59"/>
    <mergeCell ref="G59:H59"/>
    <mergeCell ref="I59:J59"/>
    <mergeCell ref="K59:L59"/>
    <mergeCell ref="C13:G13"/>
    <mergeCell ref="C182:C184"/>
    <mergeCell ref="D182:D184"/>
    <mergeCell ref="E182:E184"/>
    <mergeCell ref="F182:F183"/>
    <mergeCell ref="D4:F4"/>
    <mergeCell ref="D97:D99"/>
    <mergeCell ref="E97:E99"/>
    <mergeCell ref="F97:F98"/>
    <mergeCell ref="C114:C116"/>
    <mergeCell ref="D114:D116"/>
    <mergeCell ref="E114:E116"/>
    <mergeCell ref="F114:F115"/>
    <mergeCell ref="C97:C99"/>
    <mergeCell ref="C131:C133"/>
    <mergeCell ref="D131:D133"/>
    <mergeCell ref="E131:E13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B2:E20"/>
  <sheetViews>
    <sheetView zoomScale="105" zoomScaleNormal="105" workbookViewId="0">
      <selection activeCell="D5" sqref="D5"/>
    </sheetView>
  </sheetViews>
  <sheetFormatPr defaultColWidth="9.140625" defaultRowHeight="14.25" x14ac:dyDescent="0.2"/>
  <cols>
    <col min="1" max="1" width="9.140625" style="14"/>
    <col min="2" max="2" width="14.5703125" style="14" bestFit="1" customWidth="1"/>
    <col min="3" max="3" width="14.5703125" style="14" customWidth="1"/>
    <col min="4" max="4" width="10.7109375" style="14" customWidth="1"/>
    <col min="5" max="16384" width="9.140625" style="14"/>
  </cols>
  <sheetData>
    <row r="2" spans="2:5" ht="15" x14ac:dyDescent="0.25">
      <c r="B2" s="67" t="s">
        <v>72</v>
      </c>
      <c r="C2" s="113"/>
    </row>
    <row r="3" spans="2:5" ht="15" x14ac:dyDescent="0.25">
      <c r="D3" s="81"/>
    </row>
    <row r="4" spans="2:5" s="113" customFormat="1" ht="15" x14ac:dyDescent="0.25">
      <c r="B4" s="17" t="s">
        <v>35</v>
      </c>
      <c r="C4" s="17" t="s">
        <v>136</v>
      </c>
      <c r="D4" s="16" t="s">
        <v>137</v>
      </c>
      <c r="E4" s="16" t="s">
        <v>138</v>
      </c>
    </row>
    <row r="5" spans="2:5" x14ac:dyDescent="0.2">
      <c r="B5" s="15" t="s">
        <v>38</v>
      </c>
      <c r="C5" s="15">
        <f ca="1">'IoWC Cal''n'!N5</f>
        <v>36.450000000000003</v>
      </c>
      <c r="D5" s="51">
        <f ca="1">'IoWC Cal''n'!N25</f>
        <v>36.28</v>
      </c>
      <c r="E5" s="15">
        <f ca="1">'IoWC Cal''n'!N44</f>
        <v>34.49</v>
      </c>
    </row>
    <row r="6" spans="2:5" x14ac:dyDescent="0.2">
      <c r="B6" s="15" t="s">
        <v>39</v>
      </c>
      <c r="C6" s="15">
        <f ca="1">'IoWC Cal''n'!N6</f>
        <v>36.29</v>
      </c>
      <c r="D6" s="51">
        <f ca="1">'IoWC Cal''n'!N26</f>
        <v>37.71</v>
      </c>
      <c r="E6" s="15">
        <f ca="1">'IoWC Cal''n'!N45</f>
        <v>36.5</v>
      </c>
    </row>
    <row r="7" spans="2:5" x14ac:dyDescent="0.2">
      <c r="B7" s="15" t="s">
        <v>40</v>
      </c>
      <c r="C7" s="15">
        <f ca="1">'IoWC Cal''n'!N7</f>
        <v>62.76</v>
      </c>
      <c r="D7" s="51">
        <f ca="1">'IoWC Cal''n'!N27</f>
        <v>62.57</v>
      </c>
      <c r="E7" s="15">
        <f ca="1">'IoWC Cal''n'!N46</f>
        <v>62.19</v>
      </c>
    </row>
    <row r="8" spans="2:5" x14ac:dyDescent="0.2">
      <c r="B8" s="15"/>
      <c r="C8" s="15">
        <f ca="1">'IoWC Cal''n'!N8</f>
        <v>7.04</v>
      </c>
      <c r="D8" s="51"/>
      <c r="E8" s="15"/>
    </row>
    <row r="9" spans="2:5" x14ac:dyDescent="0.2">
      <c r="B9" s="15" t="s">
        <v>36</v>
      </c>
      <c r="C9" s="15">
        <f ca="1">'IoWC Cal''n'!N9</f>
        <v>34.409999999999997</v>
      </c>
      <c r="D9" s="51">
        <f ca="1">'IoWC Cal''n'!N28</f>
        <v>30.73</v>
      </c>
      <c r="E9" s="15">
        <f ca="1">'IoWC Cal''n'!N47</f>
        <v>29.28</v>
      </c>
    </row>
    <row r="10" spans="2:5" x14ac:dyDescent="0.2">
      <c r="B10" s="15" t="s">
        <v>37</v>
      </c>
      <c r="C10" s="15">
        <f ca="1">'IoWC Cal''n'!N10</f>
        <v>45.72</v>
      </c>
      <c r="D10" s="51">
        <f ca="1">'IoWC Cal''n'!N29</f>
        <v>39.14</v>
      </c>
      <c r="E10" s="15">
        <f ca="1">'IoWC Cal''n'!N48</f>
        <v>37.46</v>
      </c>
    </row>
    <row r="11" spans="2:5" x14ac:dyDescent="0.2">
      <c r="B11" s="15" t="s">
        <v>10</v>
      </c>
      <c r="C11" s="15">
        <f ca="1">'IoWC Cal''n'!N11</f>
        <v>86.53</v>
      </c>
      <c r="D11" s="51">
        <f ca="1">'IoWC Cal''n'!N30</f>
        <v>83.26</v>
      </c>
      <c r="E11" s="15">
        <f ca="1">'IoWC Cal''n'!N49</f>
        <v>82.97</v>
      </c>
    </row>
    <row r="12" spans="2:5" x14ac:dyDescent="0.2">
      <c r="B12" s="15" t="s">
        <v>41</v>
      </c>
      <c r="C12" s="15">
        <f ca="1">'IoWC Cal''n'!N12</f>
        <v>8.6</v>
      </c>
      <c r="D12" s="51">
        <f ca="1">'IoWC Cal''n'!N31</f>
        <v>8.66</v>
      </c>
      <c r="E12" s="15">
        <f ca="1">'IoWC Cal''n'!N50</f>
        <v>8.82</v>
      </c>
    </row>
    <row r="13" spans="2:5" x14ac:dyDescent="0.2">
      <c r="B13" s="15" t="s">
        <v>42</v>
      </c>
      <c r="C13" s="15">
        <f ca="1">'IoWC Cal''n'!N13</f>
        <v>11.81</v>
      </c>
      <c r="D13" s="51">
        <f ca="1">'IoWC Cal''n'!N32</f>
        <v>11.85</v>
      </c>
      <c r="E13" s="15">
        <f ca="1">'IoWC Cal''n'!N51</f>
        <v>11.96</v>
      </c>
    </row>
    <row r="14" spans="2:5" x14ac:dyDescent="0.2">
      <c r="B14" s="15" t="s">
        <v>13</v>
      </c>
      <c r="C14" s="15">
        <f ca="1">'IoWC Cal''n'!N14</f>
        <v>1.47</v>
      </c>
      <c r="D14" s="51">
        <f ca="1">'IoWC Cal''n'!N33</f>
        <v>1.56</v>
      </c>
      <c r="E14" s="15">
        <f ca="1">'IoWC Cal''n'!N52</f>
        <v>1.61</v>
      </c>
    </row>
    <row r="15" spans="2:5" x14ac:dyDescent="0.2">
      <c r="B15" s="15" t="s">
        <v>14</v>
      </c>
      <c r="C15" s="15">
        <f ca="1">'IoWC Cal''n'!N15</f>
        <v>0.26</v>
      </c>
      <c r="D15" s="51">
        <f ca="1">'IoWC Cal''n'!N34</f>
        <v>0.26</v>
      </c>
      <c r="E15" s="15">
        <f ca="1">'IoWC Cal''n'!N53</f>
        <v>0.27</v>
      </c>
    </row>
    <row r="16" spans="2:5" x14ac:dyDescent="0.2">
      <c r="B16" s="15" t="s">
        <v>15</v>
      </c>
      <c r="C16" s="15">
        <f ca="1">'IoWC Cal''n'!N16</f>
        <v>0.27</v>
      </c>
      <c r="D16" s="51">
        <f ca="1">'IoWC Cal''n'!N35</f>
        <v>0.27</v>
      </c>
      <c r="E16" s="15">
        <f ca="1">'IoWC Cal''n'!N54</f>
        <v>0.28000000000000003</v>
      </c>
    </row>
    <row r="17" spans="2:5" x14ac:dyDescent="0.2">
      <c r="B17" s="15" t="s">
        <v>43</v>
      </c>
      <c r="C17" s="15">
        <f ca="1">'IoWC Cal''n'!N17</f>
        <v>2.8</v>
      </c>
      <c r="D17" s="51">
        <f ca="1">'IoWC Cal''n'!N36</f>
        <v>2.93</v>
      </c>
      <c r="E17" s="15">
        <f ca="1">'IoWC Cal''n'!N55</f>
        <v>2.97</v>
      </c>
    </row>
    <row r="18" spans="2:5" x14ac:dyDescent="0.2">
      <c r="B18" s="15" t="s">
        <v>44</v>
      </c>
      <c r="C18" s="15">
        <f ca="1">'IoWC Cal''n'!N18</f>
        <v>5.25</v>
      </c>
      <c r="D18" s="51">
        <f ca="1">'IoWC Cal''n'!N37</f>
        <v>5.37</v>
      </c>
      <c r="E18" s="15">
        <f ca="1">'IoWC Cal''n'!N56</f>
        <v>5.4</v>
      </c>
    </row>
    <row r="19" spans="2:5" x14ac:dyDescent="0.2">
      <c r="B19" s="15" t="s">
        <v>45</v>
      </c>
      <c r="C19" s="15">
        <f ca="1">'IoWC Cal''n'!N19</f>
        <v>2.21</v>
      </c>
      <c r="D19" s="51">
        <f ca="1">'IoWC Cal''n'!N38</f>
        <v>2.2200000000000002</v>
      </c>
      <c r="E19" s="15">
        <f ca="1">'IoWC Cal''n'!N57</f>
        <v>2.2400000000000002</v>
      </c>
    </row>
    <row r="20" spans="2:5" ht="15" x14ac:dyDescent="0.25">
      <c r="B20" s="16" t="s">
        <v>19</v>
      </c>
      <c r="C20" s="16">
        <f ca="1">SUM(C5:C19)</f>
        <v>341.87</v>
      </c>
      <c r="D20" s="52">
        <f t="shared" ref="D20:E20" ca="1" si="0">SUM(D5:D19)</f>
        <v>322.81000000000006</v>
      </c>
      <c r="E20" s="52">
        <f t="shared" ca="1" si="0"/>
        <v>316.43999999999994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L20"/>
  <sheetViews>
    <sheetView showGridLines="0" topLeftCell="A2" zoomScale="93" zoomScaleNormal="93" zoomScaleSheetLayoutView="90" workbookViewId="0">
      <selection activeCell="A2" sqref="A2:I20"/>
    </sheetView>
  </sheetViews>
  <sheetFormatPr defaultColWidth="9.140625" defaultRowHeight="15" x14ac:dyDescent="0.2"/>
  <cols>
    <col min="1" max="1" width="18.85546875" style="40" customWidth="1"/>
    <col min="2" max="2" width="10.7109375" style="40" customWidth="1"/>
    <col min="3" max="3" width="14.7109375" style="40" customWidth="1"/>
    <col min="4" max="4" width="12.5703125" style="40" customWidth="1"/>
    <col min="5" max="5" width="10.7109375" style="40" customWidth="1"/>
    <col min="6" max="7" width="16.5703125" style="40" customWidth="1"/>
    <col min="8" max="8" width="12.5703125" style="40" customWidth="1"/>
    <col min="9" max="9" width="11.85546875" style="123" customWidth="1"/>
    <col min="10" max="16384" width="9.140625" style="123"/>
  </cols>
  <sheetData>
    <row r="2" spans="1:12" ht="15.75" x14ac:dyDescent="0.25">
      <c r="A2" s="114" t="s">
        <v>73</v>
      </c>
      <c r="B2" s="172"/>
      <c r="F2" s="114" t="s">
        <v>176</v>
      </c>
      <c r="G2" s="172"/>
    </row>
    <row r="3" spans="1:12" ht="15.75" x14ac:dyDescent="0.25">
      <c r="A3" s="114" t="s">
        <v>35</v>
      </c>
      <c r="B3" s="114" t="s">
        <v>394</v>
      </c>
      <c r="C3" s="114" t="s">
        <v>175</v>
      </c>
      <c r="D3" s="83" t="s">
        <v>190</v>
      </c>
      <c r="F3" s="114" t="s">
        <v>35</v>
      </c>
      <c r="G3" s="114" t="s">
        <v>394</v>
      </c>
      <c r="H3" s="114" t="s">
        <v>175</v>
      </c>
      <c r="I3" s="147" t="s">
        <v>190</v>
      </c>
    </row>
    <row r="4" spans="1:12" ht="15.75" x14ac:dyDescent="0.25">
      <c r="A4" s="83" t="s">
        <v>38</v>
      </c>
      <c r="B4" s="263">
        <v>8.35</v>
      </c>
      <c r="C4" s="263">
        <v>9.07</v>
      </c>
      <c r="D4" s="263">
        <v>9.44</v>
      </c>
      <c r="E4" s="160"/>
      <c r="F4" s="83" t="s">
        <v>38</v>
      </c>
      <c r="G4" s="83">
        <v>1.31</v>
      </c>
      <c r="H4" s="124">
        <v>1.82</v>
      </c>
      <c r="I4" s="124">
        <v>1.8564000000000001</v>
      </c>
      <c r="L4" s="125"/>
    </row>
    <row r="5" spans="1:12" ht="15.75" x14ac:dyDescent="0.25">
      <c r="A5" s="83" t="s">
        <v>39</v>
      </c>
      <c r="B5" s="263">
        <v>8.35</v>
      </c>
      <c r="C5" s="263">
        <v>9.07</v>
      </c>
      <c r="D5" s="263">
        <v>9.44</v>
      </c>
      <c r="E5" s="160"/>
      <c r="F5" s="83" t="s">
        <v>39</v>
      </c>
      <c r="G5" s="83">
        <v>0.92</v>
      </c>
      <c r="H5" s="124">
        <v>1.82</v>
      </c>
      <c r="I5" s="124">
        <v>1.8564000000000001</v>
      </c>
      <c r="L5" s="125"/>
    </row>
    <row r="6" spans="1:12" ht="15.75" x14ac:dyDescent="0.25">
      <c r="A6" s="83" t="s">
        <v>40</v>
      </c>
      <c r="B6" s="263">
        <v>12.92</v>
      </c>
      <c r="C6" s="263">
        <v>13.7</v>
      </c>
      <c r="D6" s="263">
        <v>14.25</v>
      </c>
      <c r="E6" s="160"/>
      <c r="F6" s="83" t="s">
        <v>40</v>
      </c>
      <c r="G6" s="83">
        <v>1.2</v>
      </c>
      <c r="H6" s="124">
        <v>2.3540000000000001</v>
      </c>
      <c r="I6" s="124">
        <v>2.4010800000000003</v>
      </c>
      <c r="L6" s="125"/>
    </row>
    <row r="7" spans="1:12" ht="15.75" x14ac:dyDescent="0.25">
      <c r="A7" s="83" t="s">
        <v>7</v>
      </c>
      <c r="B7" s="263">
        <v>1.8</v>
      </c>
      <c r="C7" s="263"/>
      <c r="D7" s="263"/>
      <c r="E7" s="160"/>
      <c r="F7" s="83" t="s">
        <v>7</v>
      </c>
      <c r="G7" s="83">
        <v>0.06</v>
      </c>
      <c r="H7" s="124"/>
      <c r="I7" s="124"/>
      <c r="L7" s="125"/>
    </row>
    <row r="8" spans="1:12" s="127" customFormat="1" ht="15.75" x14ac:dyDescent="0.25">
      <c r="A8" s="83" t="s">
        <v>36</v>
      </c>
      <c r="B8" s="263">
        <v>9.9</v>
      </c>
      <c r="C8" s="263">
        <v>10.31</v>
      </c>
      <c r="D8" s="263">
        <v>10.73</v>
      </c>
      <c r="E8" s="160"/>
      <c r="F8" s="83" t="s">
        <v>36</v>
      </c>
      <c r="G8" s="83">
        <v>1.63</v>
      </c>
      <c r="H8" s="126">
        <v>2.2430500000000002</v>
      </c>
      <c r="I8" s="126">
        <v>2.2879110000000003</v>
      </c>
      <c r="L8" s="125"/>
    </row>
    <row r="9" spans="1:12" s="127" customFormat="1" ht="15.75" x14ac:dyDescent="0.25">
      <c r="A9" s="83" t="s">
        <v>37</v>
      </c>
      <c r="B9" s="263">
        <v>11.89</v>
      </c>
      <c r="C9" s="263">
        <v>12.38</v>
      </c>
      <c r="D9" s="263">
        <v>12.87</v>
      </c>
      <c r="E9" s="160"/>
      <c r="F9" s="83" t="s">
        <v>37</v>
      </c>
      <c r="G9" s="83">
        <v>1.76</v>
      </c>
      <c r="H9" s="126">
        <v>2.2430500000000002</v>
      </c>
      <c r="I9" s="126">
        <v>2.2879110000000003</v>
      </c>
      <c r="L9" s="125"/>
    </row>
    <row r="10" spans="1:12" ht="15.75" x14ac:dyDescent="0.25">
      <c r="A10" s="83" t="s">
        <v>10</v>
      </c>
      <c r="B10" s="263">
        <v>15.16</v>
      </c>
      <c r="C10" s="263">
        <v>15.79</v>
      </c>
      <c r="D10" s="263">
        <v>16.43</v>
      </c>
      <c r="E10" s="160"/>
      <c r="F10" s="83" t="s">
        <v>10</v>
      </c>
      <c r="G10" s="83">
        <v>1.38</v>
      </c>
      <c r="H10" s="126">
        <v>2.5</v>
      </c>
      <c r="I10" s="126">
        <v>2.5499999999999998</v>
      </c>
      <c r="L10" s="125"/>
    </row>
    <row r="11" spans="1:12" ht="15.75" x14ac:dyDescent="0.25">
      <c r="A11" s="83" t="s">
        <v>41</v>
      </c>
      <c r="B11" s="263">
        <v>1.6</v>
      </c>
      <c r="C11" s="263">
        <v>1.69</v>
      </c>
      <c r="D11" s="263">
        <v>1.76</v>
      </c>
      <c r="E11" s="160"/>
      <c r="F11" s="83" t="s">
        <v>41</v>
      </c>
      <c r="G11" s="83">
        <v>8.2799999999999994</v>
      </c>
      <c r="H11" s="126">
        <v>10</v>
      </c>
      <c r="I11" s="126">
        <v>10.199999999999999</v>
      </c>
      <c r="L11" s="125"/>
    </row>
    <row r="12" spans="1:12" ht="15.75" x14ac:dyDescent="0.25">
      <c r="A12" s="83" t="s">
        <v>42</v>
      </c>
      <c r="B12" s="263">
        <v>7.38</v>
      </c>
      <c r="C12" s="263">
        <v>7.7</v>
      </c>
      <c r="D12" s="263">
        <v>8.01</v>
      </c>
      <c r="E12" s="160"/>
      <c r="F12" s="83" t="s">
        <v>42</v>
      </c>
      <c r="G12" s="83">
        <v>8.24</v>
      </c>
      <c r="H12" s="126">
        <v>8.5</v>
      </c>
      <c r="I12" s="126">
        <v>8.67</v>
      </c>
      <c r="L12" s="125"/>
    </row>
    <row r="13" spans="1:12" ht="15.75" x14ac:dyDescent="0.25">
      <c r="A13" s="83" t="s">
        <v>13</v>
      </c>
      <c r="B13" s="263">
        <v>0.14000000000000001</v>
      </c>
      <c r="C13" s="263">
        <v>0.54</v>
      </c>
      <c r="D13" s="263">
        <v>0.56000000000000005</v>
      </c>
      <c r="E13" s="160"/>
      <c r="F13" s="83" t="s">
        <v>13</v>
      </c>
      <c r="G13" s="83">
        <v>1.57</v>
      </c>
      <c r="H13" s="126">
        <v>2.4857126567844929</v>
      </c>
      <c r="I13" s="126">
        <v>2.5354269099201829</v>
      </c>
      <c r="L13" s="125"/>
    </row>
    <row r="14" spans="1:12" ht="15.75" x14ac:dyDescent="0.25">
      <c r="A14" s="83" t="s">
        <v>14</v>
      </c>
      <c r="B14" s="263">
        <v>0.02</v>
      </c>
      <c r="C14" s="263">
        <v>0.1</v>
      </c>
      <c r="D14" s="263">
        <v>0.1</v>
      </c>
      <c r="E14" s="160"/>
      <c r="F14" s="83" t="s">
        <v>14</v>
      </c>
      <c r="G14" s="83">
        <v>0.28000000000000003</v>
      </c>
      <c r="H14" s="126">
        <v>0.43786784492588371</v>
      </c>
      <c r="I14" s="126">
        <v>0.44662520182440141</v>
      </c>
      <c r="L14" s="125"/>
    </row>
    <row r="15" spans="1:12" s="128" customFormat="1" ht="15.75" x14ac:dyDescent="0.25">
      <c r="A15" s="83" t="s">
        <v>15</v>
      </c>
      <c r="B15" s="263">
        <f>ROUND(0.023,2)</f>
        <v>0.02</v>
      </c>
      <c r="C15" s="263">
        <v>0.09</v>
      </c>
      <c r="D15" s="263">
        <v>0.1</v>
      </c>
      <c r="E15" s="160"/>
      <c r="F15" s="83" t="s">
        <v>15</v>
      </c>
      <c r="G15" s="83">
        <v>0.27</v>
      </c>
      <c r="H15" s="126">
        <v>0.43021949828962375</v>
      </c>
      <c r="I15" s="126">
        <v>0.43882388825541624</v>
      </c>
      <c r="L15" s="125"/>
    </row>
    <row r="16" spans="1:12" s="128" customFormat="1" ht="15.75" x14ac:dyDescent="0.25">
      <c r="A16" s="83" t="s">
        <v>43</v>
      </c>
      <c r="B16" s="263">
        <v>0.31</v>
      </c>
      <c r="C16" s="263">
        <v>1.32</v>
      </c>
      <c r="D16" s="263">
        <v>1.38</v>
      </c>
      <c r="E16" s="160"/>
      <c r="F16" s="83" t="s">
        <v>43</v>
      </c>
      <c r="G16" s="83">
        <f>7.11/2</f>
        <v>3.5550000000000002</v>
      </c>
      <c r="H16" s="126">
        <f>15.52/2</f>
        <v>7.76</v>
      </c>
      <c r="I16" s="126">
        <f>15.83/2</f>
        <v>7.915</v>
      </c>
      <c r="L16" s="125"/>
    </row>
    <row r="17" spans="1:12" s="128" customFormat="1" ht="15.75" x14ac:dyDescent="0.25">
      <c r="A17" s="83" t="s">
        <v>44</v>
      </c>
      <c r="B17" s="263">
        <v>0.31</v>
      </c>
      <c r="C17" s="263">
        <v>0.33</v>
      </c>
      <c r="D17" s="263">
        <v>0.35</v>
      </c>
      <c r="E17" s="160"/>
      <c r="F17" s="83" t="s">
        <v>44</v>
      </c>
      <c r="G17" s="83">
        <f>G16</f>
        <v>3.5550000000000002</v>
      </c>
      <c r="H17" s="126">
        <f>H16</f>
        <v>7.76</v>
      </c>
      <c r="I17" s="126">
        <f>I16</f>
        <v>7.915</v>
      </c>
      <c r="L17" s="125"/>
    </row>
    <row r="18" spans="1:12" s="128" customFormat="1" ht="15.75" x14ac:dyDescent="0.25">
      <c r="A18" s="83" t="s">
        <v>45</v>
      </c>
      <c r="B18" s="263">
        <v>0.24</v>
      </c>
      <c r="C18" s="263">
        <v>0.26</v>
      </c>
      <c r="D18" s="263">
        <v>0.27</v>
      </c>
      <c r="E18" s="160"/>
      <c r="F18" s="83" t="s">
        <v>45</v>
      </c>
      <c r="G18" s="83">
        <v>1.38</v>
      </c>
      <c r="H18" s="126">
        <v>2.08</v>
      </c>
      <c r="I18" s="126">
        <v>2.1215999999999999</v>
      </c>
      <c r="L18" s="125"/>
    </row>
    <row r="19" spans="1:12" s="128" customFormat="1" ht="15.75" x14ac:dyDescent="0.25">
      <c r="A19" s="79" t="s">
        <v>19</v>
      </c>
      <c r="B19" s="84">
        <f>SUM(B4:B18)</f>
        <v>78.389999999999986</v>
      </c>
      <c r="C19" s="84">
        <f>SUM(C4:C18)</f>
        <v>82.35</v>
      </c>
      <c r="D19" s="84">
        <f>SUM(D4:D18)</f>
        <v>85.689999999999984</v>
      </c>
      <c r="E19" s="161"/>
      <c r="F19" s="79" t="s">
        <v>19</v>
      </c>
      <c r="G19" s="79">
        <f>SUM(G4:G18)</f>
        <v>35.390000000000008</v>
      </c>
      <c r="H19" s="84">
        <f t="shared" ref="H19:I19" si="0">SUM(H4:H18)</f>
        <v>52.433899999999994</v>
      </c>
      <c r="I19" s="84">
        <f t="shared" si="0"/>
        <v>53.482177999999998</v>
      </c>
    </row>
    <row r="20" spans="1:12" x14ac:dyDescent="0.2">
      <c r="F20" s="40" t="s">
        <v>404</v>
      </c>
      <c r="G20" s="230">
        <v>35.380000000000003</v>
      </c>
    </row>
  </sheetData>
  <pageMargins left="0.1" right="0.1" top="1" bottom="1" header="0.25" footer="0.25"/>
  <pageSetup paperSize="9" orientation="landscape" r:id="rId1"/>
  <headerFooter alignWithMargins="0">
    <oddHeader>&amp;F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N24"/>
  <sheetViews>
    <sheetView topLeftCell="A4" workbookViewId="0">
      <selection activeCell="O14" sqref="O14"/>
    </sheetView>
  </sheetViews>
  <sheetFormatPr defaultRowHeight="14.25" x14ac:dyDescent="0.2"/>
  <cols>
    <col min="1" max="1" width="9.140625" style="14"/>
    <col min="2" max="2" width="33.140625" style="14" customWidth="1"/>
    <col min="3" max="8" width="10.42578125" style="14" bestFit="1" customWidth="1"/>
    <col min="9" max="16384" width="9.140625" style="14"/>
  </cols>
  <sheetData>
    <row r="2" spans="2:14" ht="15" x14ac:dyDescent="0.25">
      <c r="B2" s="115" t="s">
        <v>77</v>
      </c>
      <c r="C2" s="115" t="s">
        <v>136</v>
      </c>
      <c r="D2" s="115" t="s">
        <v>137</v>
      </c>
      <c r="E2" s="115" t="s">
        <v>138</v>
      </c>
      <c r="F2" s="115" t="s">
        <v>177</v>
      </c>
      <c r="G2" s="115" t="s">
        <v>178</v>
      </c>
      <c r="H2" s="115" t="s">
        <v>179</v>
      </c>
    </row>
    <row r="3" spans="2:14" x14ac:dyDescent="0.2">
      <c r="B3" s="15" t="s">
        <v>180</v>
      </c>
      <c r="C3" s="18">
        <v>1551.13</v>
      </c>
      <c r="D3" s="18">
        <v>1675.22</v>
      </c>
      <c r="E3" s="18">
        <v>1809.24</v>
      </c>
      <c r="F3" s="18">
        <v>1953.98</v>
      </c>
      <c r="G3" s="18">
        <v>2110.3000000000002</v>
      </c>
      <c r="H3" s="18">
        <f>SUM(C3:G3)</f>
        <v>9099.869999999999</v>
      </c>
      <c r="I3" s="116">
        <f>(C3-1480)/1480*100</f>
        <v>4.8060810810810883</v>
      </c>
      <c r="J3" s="117">
        <f>(D3-C3)/D3*100</f>
        <v>7.4073852986473367</v>
      </c>
      <c r="K3" s="117">
        <f>(E3-D3)/E3*100</f>
        <v>7.4075302336892825</v>
      </c>
      <c r="L3" s="117">
        <f>(F3-E3)/F3*100</f>
        <v>7.4074453167381451</v>
      </c>
      <c r="M3" s="117">
        <f>(G3-F3)/G3*100</f>
        <v>7.4074776098185167</v>
      </c>
      <c r="N3" s="117"/>
    </row>
    <row r="4" spans="2:14" x14ac:dyDescent="0.2">
      <c r="B4" s="15" t="s">
        <v>181</v>
      </c>
      <c r="C4" s="18">
        <v>115.22</v>
      </c>
      <c r="D4" s="18">
        <v>127.12</v>
      </c>
      <c r="E4" s="18">
        <v>146.71</v>
      </c>
      <c r="F4" s="18">
        <v>133.38</v>
      </c>
      <c r="G4" s="18">
        <v>147.35</v>
      </c>
      <c r="H4" s="18">
        <f>SUM(C4:G4)</f>
        <v>669.78000000000009</v>
      </c>
    </row>
    <row r="5" spans="2:14" x14ac:dyDescent="0.2">
      <c r="B5" s="15" t="s">
        <v>182</v>
      </c>
      <c r="C5" s="18">
        <v>68.180000000000007</v>
      </c>
      <c r="D5" s="18">
        <v>58.64</v>
      </c>
      <c r="E5" s="18">
        <v>45.47</v>
      </c>
      <c r="F5" s="18">
        <v>35.590000000000003</v>
      </c>
      <c r="G5" s="18">
        <v>16.75</v>
      </c>
      <c r="H5" s="18">
        <f>SUM(C5:G5)</f>
        <v>224.63000000000002</v>
      </c>
    </row>
    <row r="6" spans="2:14" ht="45" x14ac:dyDescent="0.25">
      <c r="B6" s="118" t="s">
        <v>183</v>
      </c>
      <c r="C6" s="119">
        <f>C3-C4-C5</f>
        <v>1367.73</v>
      </c>
      <c r="D6" s="119">
        <f t="shared" ref="D6:G6" si="0">D3-D4-D5</f>
        <v>1489.4599999999998</v>
      </c>
      <c r="E6" s="119">
        <f t="shared" si="0"/>
        <v>1617.06</v>
      </c>
      <c r="F6" s="119">
        <f t="shared" si="0"/>
        <v>1785.01</v>
      </c>
      <c r="G6" s="119">
        <f t="shared" si="0"/>
        <v>1946.2000000000003</v>
      </c>
      <c r="H6" s="119">
        <f>SUM(C6:G6)</f>
        <v>8205.4600000000009</v>
      </c>
    </row>
    <row r="7" spans="2:14" ht="15" x14ac:dyDescent="0.25">
      <c r="B7" s="115"/>
      <c r="C7" s="115"/>
      <c r="D7" s="115"/>
      <c r="E7" s="115"/>
      <c r="F7" s="115"/>
      <c r="G7" s="115"/>
      <c r="H7" s="115"/>
    </row>
    <row r="9" spans="2:14" ht="15" x14ac:dyDescent="0.25">
      <c r="B9" s="120" t="s">
        <v>184</v>
      </c>
    </row>
    <row r="10" spans="2:14" ht="15" x14ac:dyDescent="0.25">
      <c r="B10" s="115" t="s">
        <v>77</v>
      </c>
      <c r="C10" s="115" t="s">
        <v>136</v>
      </c>
      <c r="D10" s="115" t="s">
        <v>137</v>
      </c>
      <c r="E10" s="115" t="s">
        <v>138</v>
      </c>
      <c r="F10" s="115" t="s">
        <v>177</v>
      </c>
      <c r="G10" s="115" t="s">
        <v>178</v>
      </c>
      <c r="H10" s="115" t="s">
        <v>179</v>
      </c>
    </row>
    <row r="11" spans="2:14" ht="15" x14ac:dyDescent="0.25">
      <c r="B11" s="121" t="s">
        <v>185</v>
      </c>
      <c r="C11" s="15"/>
      <c r="D11" s="15"/>
      <c r="E11" s="15"/>
      <c r="F11" s="15"/>
      <c r="G11" s="15"/>
      <c r="H11" s="15"/>
    </row>
    <row r="12" spans="2:14" x14ac:dyDescent="0.2">
      <c r="B12" s="15" t="s">
        <v>186</v>
      </c>
      <c r="C12" s="18">
        <v>66.430000000000007</v>
      </c>
      <c r="D12" s="18">
        <v>55</v>
      </c>
      <c r="E12" s="18">
        <v>52</v>
      </c>
      <c r="F12" s="18">
        <v>50</v>
      </c>
      <c r="G12" s="18">
        <v>50</v>
      </c>
      <c r="H12" s="18">
        <f>SUM(C12:G12)</f>
        <v>273.43</v>
      </c>
    </row>
    <row r="13" spans="2:14" x14ac:dyDescent="0.2">
      <c r="B13" s="15" t="s">
        <v>187</v>
      </c>
      <c r="C13" s="18">
        <v>38.869999999999997</v>
      </c>
      <c r="D13" s="18">
        <v>42</v>
      </c>
      <c r="E13" s="18">
        <v>36.4</v>
      </c>
      <c r="F13" s="18">
        <v>29.7</v>
      </c>
      <c r="G13" s="18">
        <v>21</v>
      </c>
      <c r="H13" s="18">
        <f>SUM(C13:G13)</f>
        <v>167.97</v>
      </c>
    </row>
    <row r="14" spans="2:14" ht="15" x14ac:dyDescent="0.25">
      <c r="B14" s="16" t="s">
        <v>19</v>
      </c>
      <c r="C14" s="119">
        <f>SUM(C12:C13)</f>
        <v>105.30000000000001</v>
      </c>
      <c r="D14" s="119">
        <f t="shared" ref="D14:H14" si="1">SUM(D12:D13)</f>
        <v>97</v>
      </c>
      <c r="E14" s="119">
        <f t="shared" si="1"/>
        <v>88.4</v>
      </c>
      <c r="F14" s="119">
        <f t="shared" si="1"/>
        <v>79.7</v>
      </c>
      <c r="G14" s="119">
        <f t="shared" si="1"/>
        <v>71</v>
      </c>
      <c r="H14" s="119">
        <f t="shared" si="1"/>
        <v>441.4</v>
      </c>
    </row>
    <row r="15" spans="2:14" ht="15" x14ac:dyDescent="0.25">
      <c r="B15" s="121" t="s">
        <v>188</v>
      </c>
      <c r="C15" s="18"/>
      <c r="D15" s="18"/>
      <c r="E15" s="18"/>
      <c r="F15" s="18"/>
      <c r="G15" s="18"/>
      <c r="H15" s="18"/>
    </row>
    <row r="16" spans="2:14" x14ac:dyDescent="0.2">
      <c r="B16" s="15" t="s">
        <v>186</v>
      </c>
      <c r="C16" s="18">
        <v>210</v>
      </c>
      <c r="D16" s="18">
        <v>250</v>
      </c>
      <c r="E16" s="18">
        <v>300</v>
      </c>
      <c r="F16" s="18">
        <v>270</v>
      </c>
      <c r="G16" s="18">
        <v>303.52</v>
      </c>
      <c r="H16" s="18">
        <f>SUM(C16:G16)</f>
        <v>1333.52</v>
      </c>
    </row>
    <row r="17" spans="2:8" x14ac:dyDescent="0.2">
      <c r="B17" s="15" t="s">
        <v>187</v>
      </c>
      <c r="C17" s="18">
        <v>124.7</v>
      </c>
      <c r="D17" s="18">
        <v>98.7</v>
      </c>
      <c r="E17" s="18">
        <v>72.7</v>
      </c>
      <c r="F17" s="18">
        <v>55.7</v>
      </c>
      <c r="G17" s="18">
        <v>19.18</v>
      </c>
      <c r="H17" s="18">
        <f>SUM(C17:G17)</f>
        <v>370.98</v>
      </c>
    </row>
    <row r="18" spans="2:8" ht="15" x14ac:dyDescent="0.25">
      <c r="B18" s="16" t="s">
        <v>19</v>
      </c>
      <c r="C18" s="119">
        <f>SUM(C16:C17)</f>
        <v>334.7</v>
      </c>
      <c r="D18" s="119">
        <f t="shared" ref="D18:H18" si="2">SUM(D16:D17)</f>
        <v>348.7</v>
      </c>
      <c r="E18" s="119">
        <f t="shared" si="2"/>
        <v>372.7</v>
      </c>
      <c r="F18" s="119">
        <f t="shared" si="2"/>
        <v>325.7</v>
      </c>
      <c r="G18" s="119">
        <f t="shared" si="2"/>
        <v>322.7</v>
      </c>
      <c r="H18" s="119">
        <f t="shared" si="2"/>
        <v>1704.5</v>
      </c>
    </row>
    <row r="19" spans="2:8" x14ac:dyDescent="0.2">
      <c r="B19" s="15"/>
      <c r="C19" s="15"/>
      <c r="D19" s="15"/>
      <c r="E19" s="15"/>
      <c r="F19" s="15"/>
      <c r="G19" s="15"/>
      <c r="H19" s="15"/>
    </row>
    <row r="20" spans="2:8" ht="15" x14ac:dyDescent="0.25">
      <c r="B20" s="121" t="s">
        <v>189</v>
      </c>
      <c r="C20" s="15"/>
      <c r="D20" s="15"/>
      <c r="E20" s="15"/>
      <c r="F20" s="15"/>
      <c r="G20" s="15"/>
      <c r="H20" s="15"/>
    </row>
    <row r="21" spans="2:8" x14ac:dyDescent="0.2">
      <c r="B21" s="15" t="s">
        <v>186</v>
      </c>
      <c r="C21" s="18">
        <f t="shared" ref="C21:G22" si="3">(C12+C16)*41.68%</f>
        <v>115.216024</v>
      </c>
      <c r="D21" s="18">
        <f t="shared" si="3"/>
        <v>127.124</v>
      </c>
      <c r="E21" s="18">
        <f t="shared" si="3"/>
        <v>146.71360000000001</v>
      </c>
      <c r="F21" s="18">
        <f t="shared" si="3"/>
        <v>133.376</v>
      </c>
      <c r="G21" s="18">
        <f t="shared" si="3"/>
        <v>147.34713600000001</v>
      </c>
      <c r="H21" s="18">
        <f t="shared" ref="H21:H22" si="4">SUM(C21:G21)</f>
        <v>669.77675999999997</v>
      </c>
    </row>
    <row r="22" spans="2:8" x14ac:dyDescent="0.2">
      <c r="B22" s="15" t="s">
        <v>187</v>
      </c>
      <c r="C22" s="18">
        <f t="shared" si="3"/>
        <v>68.175975999999991</v>
      </c>
      <c r="D22" s="18">
        <f t="shared" si="3"/>
        <v>58.643759999999993</v>
      </c>
      <c r="E22" s="18">
        <f t="shared" si="3"/>
        <v>45.472879999999996</v>
      </c>
      <c r="F22" s="18">
        <f t="shared" si="3"/>
        <v>35.594720000000002</v>
      </c>
      <c r="G22" s="18">
        <f t="shared" si="3"/>
        <v>16.747024</v>
      </c>
      <c r="H22" s="18">
        <f t="shared" si="4"/>
        <v>224.63435999999999</v>
      </c>
    </row>
    <row r="23" spans="2:8" ht="15" x14ac:dyDescent="0.25">
      <c r="B23" s="16" t="s">
        <v>19</v>
      </c>
      <c r="C23" s="119">
        <f t="shared" ref="C23:H23" si="5">C21+C22</f>
        <v>183.392</v>
      </c>
      <c r="D23" s="119">
        <f t="shared" si="5"/>
        <v>185.76775999999998</v>
      </c>
      <c r="E23" s="119">
        <f t="shared" si="5"/>
        <v>192.18648000000002</v>
      </c>
      <c r="F23" s="119">
        <f t="shared" si="5"/>
        <v>168.97072</v>
      </c>
      <c r="G23" s="119">
        <f t="shared" si="5"/>
        <v>164.09416000000002</v>
      </c>
      <c r="H23" s="119">
        <f t="shared" si="5"/>
        <v>894.41111999999998</v>
      </c>
    </row>
    <row r="24" spans="2:8" ht="15" x14ac:dyDescent="0.25">
      <c r="B24" s="115"/>
      <c r="C24" s="115"/>
      <c r="D24" s="115"/>
      <c r="E24" s="115"/>
      <c r="F24" s="115"/>
      <c r="G24" s="115"/>
      <c r="H24" s="115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3:P40"/>
  <sheetViews>
    <sheetView topLeftCell="A4" workbookViewId="0">
      <pane xSplit="3" ySplit="1" topLeftCell="H5" activePane="bottomRight" state="frozen"/>
      <selection activeCell="A4" sqref="A4"/>
      <selection pane="topRight" activeCell="D4" sqref="D4"/>
      <selection pane="bottomLeft" activeCell="A5" sqref="A5"/>
      <selection pane="bottomRight" activeCell="H16" sqref="H16"/>
    </sheetView>
  </sheetViews>
  <sheetFormatPr defaultRowHeight="15" x14ac:dyDescent="0.25"/>
  <cols>
    <col min="3" max="3" width="15.42578125" customWidth="1"/>
    <col min="4" max="4" width="9" bestFit="1" customWidth="1"/>
    <col min="5" max="6" width="7.42578125" bestFit="1" customWidth="1"/>
    <col min="7" max="8" width="9" bestFit="1" customWidth="1"/>
    <col min="9" max="10" width="7.42578125" bestFit="1" customWidth="1"/>
    <col min="11" max="12" width="9" bestFit="1" customWidth="1"/>
    <col min="13" max="14" width="7.42578125" bestFit="1" customWidth="1"/>
    <col min="15" max="15" width="9" bestFit="1" customWidth="1"/>
  </cols>
  <sheetData>
    <row r="3" spans="2:16" x14ac:dyDescent="0.25">
      <c r="C3" s="6" t="s">
        <v>305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2:16" x14ac:dyDescent="0.25">
      <c r="C4" s="264"/>
      <c r="D4" s="264" t="s">
        <v>136</v>
      </c>
      <c r="E4" s="264"/>
      <c r="F4" s="264"/>
      <c r="G4" s="264"/>
      <c r="H4" s="264" t="s">
        <v>137</v>
      </c>
      <c r="I4" s="264"/>
      <c r="J4" s="264"/>
      <c r="K4" s="264"/>
      <c r="L4" s="264" t="s">
        <v>138</v>
      </c>
      <c r="M4" s="264"/>
      <c r="N4" s="264"/>
      <c r="O4" s="264"/>
    </row>
    <row r="5" spans="2:16" s="141" customFormat="1" x14ac:dyDescent="0.25">
      <c r="C5" s="162"/>
      <c r="D5" s="162" t="s">
        <v>306</v>
      </c>
      <c r="E5" s="162" t="s">
        <v>307</v>
      </c>
      <c r="F5" s="162" t="s">
        <v>47</v>
      </c>
      <c r="G5" s="163" t="s">
        <v>19</v>
      </c>
      <c r="H5" s="162" t="s">
        <v>306</v>
      </c>
      <c r="I5" s="162" t="s">
        <v>307</v>
      </c>
      <c r="J5" s="162" t="s">
        <v>47</v>
      </c>
      <c r="K5" s="163" t="s">
        <v>19</v>
      </c>
      <c r="L5" s="162" t="s">
        <v>306</v>
      </c>
      <c r="M5" s="162" t="s">
        <v>307</v>
      </c>
      <c r="N5" s="162" t="s">
        <v>47</v>
      </c>
      <c r="O5" s="163" t="s">
        <v>19</v>
      </c>
    </row>
    <row r="6" spans="2:16" x14ac:dyDescent="0.25">
      <c r="C6" s="164" t="s">
        <v>38</v>
      </c>
      <c r="D6" s="4">
        <v>239.06</v>
      </c>
      <c r="E6" s="4">
        <v>13.33</v>
      </c>
      <c r="F6" s="4">
        <v>33.26</v>
      </c>
      <c r="G6" s="263">
        <f>SUM(D6:F6)</f>
        <v>285.65000000000003</v>
      </c>
      <c r="H6" s="165">
        <v>250.46</v>
      </c>
      <c r="I6" s="165">
        <v>14.23</v>
      </c>
      <c r="J6" s="165">
        <v>35.29</v>
      </c>
      <c r="K6" s="165">
        <f t="shared" ref="K6:K20" si="0">ROUND(I6+J6+H6,2)</f>
        <v>299.98</v>
      </c>
      <c r="L6" s="263">
        <v>260.47000000000003</v>
      </c>
      <c r="M6" s="263">
        <v>15.09</v>
      </c>
      <c r="N6" s="263">
        <v>37.409999999999997</v>
      </c>
      <c r="O6" s="165">
        <f t="shared" ref="O6:O20" si="1">ROUND(M6+N6+L6,2)</f>
        <v>312.97000000000003</v>
      </c>
    </row>
    <row r="7" spans="2:16" x14ac:dyDescent="0.25">
      <c r="C7" s="164" t="s">
        <v>39</v>
      </c>
      <c r="D7" s="165">
        <v>239.06</v>
      </c>
      <c r="E7" s="165">
        <v>13.33</v>
      </c>
      <c r="F7" s="165">
        <v>33.26</v>
      </c>
      <c r="G7" s="263">
        <f t="shared" ref="G7:G20" si="2">SUM(D7:F7)</f>
        <v>285.65000000000003</v>
      </c>
      <c r="H7" s="165">
        <v>250.46</v>
      </c>
      <c r="I7" s="165">
        <v>14.23</v>
      </c>
      <c r="J7" s="165">
        <v>35.29</v>
      </c>
      <c r="K7" s="165">
        <f t="shared" si="0"/>
        <v>299.98</v>
      </c>
      <c r="L7" s="263">
        <v>260.47000000000003</v>
      </c>
      <c r="M7" s="263">
        <v>15.09</v>
      </c>
      <c r="N7" s="263">
        <v>37.409999999999997</v>
      </c>
      <c r="O7" s="165">
        <f t="shared" si="1"/>
        <v>312.97000000000003</v>
      </c>
    </row>
    <row r="8" spans="2:16" x14ac:dyDescent="0.25">
      <c r="C8" s="164" t="s">
        <v>40</v>
      </c>
      <c r="D8" s="165">
        <v>482.08</v>
      </c>
      <c r="E8" s="165">
        <v>21.78</v>
      </c>
      <c r="F8" s="165">
        <v>32.880000000000003</v>
      </c>
      <c r="G8" s="263">
        <f t="shared" si="2"/>
        <v>536.74</v>
      </c>
      <c r="H8" s="165">
        <v>504.29</v>
      </c>
      <c r="I8" s="165">
        <v>25.67</v>
      </c>
      <c r="J8" s="165">
        <v>34.909999999999997</v>
      </c>
      <c r="K8" s="165">
        <f t="shared" si="0"/>
        <v>564.87</v>
      </c>
      <c r="L8" s="263">
        <v>524.46</v>
      </c>
      <c r="M8" s="263">
        <v>27.21</v>
      </c>
      <c r="N8" s="263">
        <v>37</v>
      </c>
      <c r="O8" s="165">
        <f t="shared" si="1"/>
        <v>588.66999999999996</v>
      </c>
    </row>
    <row r="9" spans="2:16" x14ac:dyDescent="0.25">
      <c r="C9" s="164" t="s">
        <v>7</v>
      </c>
      <c r="D9" s="165">
        <v>22.6</v>
      </c>
      <c r="E9" s="165">
        <v>0.76</v>
      </c>
      <c r="F9" s="165">
        <v>0.42</v>
      </c>
      <c r="G9" s="263">
        <f t="shared" si="2"/>
        <v>23.780000000000005</v>
      </c>
      <c r="H9" s="165">
        <v>0</v>
      </c>
      <c r="I9" s="165">
        <v>0</v>
      </c>
      <c r="J9" s="165">
        <v>0</v>
      </c>
      <c r="K9" s="165">
        <f t="shared" si="0"/>
        <v>0</v>
      </c>
      <c r="L9" s="263">
        <v>0</v>
      </c>
      <c r="M9" s="263">
        <v>0</v>
      </c>
      <c r="N9" s="263">
        <v>0</v>
      </c>
      <c r="O9" s="165">
        <f t="shared" si="1"/>
        <v>0</v>
      </c>
      <c r="P9" s="279"/>
    </row>
    <row r="10" spans="2:16" x14ac:dyDescent="0.25">
      <c r="C10" s="164" t="s">
        <v>308</v>
      </c>
      <c r="D10" s="165">
        <v>189.16</v>
      </c>
      <c r="E10" s="165">
        <v>6.87</v>
      </c>
      <c r="F10" s="165">
        <v>38.25</v>
      </c>
      <c r="G10" s="263">
        <f t="shared" si="2"/>
        <v>234.28</v>
      </c>
      <c r="H10" s="165">
        <v>198.56</v>
      </c>
      <c r="I10" s="165">
        <v>7.53</v>
      </c>
      <c r="J10" s="165">
        <v>40.58</v>
      </c>
      <c r="K10" s="165">
        <f t="shared" si="0"/>
        <v>246.67</v>
      </c>
      <c r="L10" s="263">
        <v>206.5</v>
      </c>
      <c r="M10" s="263">
        <v>7.98</v>
      </c>
      <c r="N10" s="263">
        <v>43.02</v>
      </c>
      <c r="O10" s="165">
        <f t="shared" si="1"/>
        <v>257.5</v>
      </c>
    </row>
    <row r="11" spans="2:16" x14ac:dyDescent="0.25">
      <c r="C11" s="164" t="s">
        <v>309</v>
      </c>
      <c r="D11" s="165">
        <v>227</v>
      </c>
      <c r="E11" s="165">
        <v>8.24</v>
      </c>
      <c r="F11" s="165">
        <v>45.9</v>
      </c>
      <c r="G11" s="263">
        <f t="shared" si="2"/>
        <v>281.14</v>
      </c>
      <c r="H11" s="165">
        <v>238.27</v>
      </c>
      <c r="I11" s="165">
        <v>9.0299999999999994</v>
      </c>
      <c r="J11" s="165">
        <v>48.7</v>
      </c>
      <c r="K11" s="165">
        <f t="shared" si="0"/>
        <v>296</v>
      </c>
      <c r="L11" s="263">
        <v>247.81</v>
      </c>
      <c r="M11" s="263">
        <v>9.57</v>
      </c>
      <c r="N11" s="263">
        <v>51.61</v>
      </c>
      <c r="O11" s="165">
        <f t="shared" si="1"/>
        <v>308.99</v>
      </c>
    </row>
    <row r="12" spans="2:16" x14ac:dyDescent="0.25">
      <c r="C12" s="164" t="s">
        <v>10</v>
      </c>
      <c r="D12" s="165">
        <v>354.74</v>
      </c>
      <c r="E12" s="165">
        <v>19.7</v>
      </c>
      <c r="F12" s="165">
        <v>76.94</v>
      </c>
      <c r="G12" s="263">
        <f t="shared" si="2"/>
        <v>451.38</v>
      </c>
      <c r="H12" s="165">
        <v>372.89</v>
      </c>
      <c r="I12" s="165">
        <v>21.21</v>
      </c>
      <c r="J12" s="165">
        <v>81.63</v>
      </c>
      <c r="K12" s="165">
        <f t="shared" si="0"/>
        <v>475.73</v>
      </c>
      <c r="L12" s="263">
        <v>387.81</v>
      </c>
      <c r="M12" s="263">
        <v>22.47</v>
      </c>
      <c r="N12" s="263">
        <v>86.52</v>
      </c>
      <c r="O12" s="165">
        <f t="shared" si="1"/>
        <v>496.8</v>
      </c>
    </row>
    <row r="13" spans="2:16" s="178" customFormat="1" x14ac:dyDescent="0.25">
      <c r="B13"/>
      <c r="C13" s="177" t="s">
        <v>41</v>
      </c>
      <c r="D13" s="165">
        <v>168.02</v>
      </c>
      <c r="E13" s="165">
        <v>10.19</v>
      </c>
      <c r="F13" s="165">
        <v>9.6999999999999993</v>
      </c>
      <c r="G13" s="263">
        <f t="shared" si="2"/>
        <v>187.91</v>
      </c>
      <c r="H13" s="165">
        <v>177.95</v>
      </c>
      <c r="I13" s="165">
        <v>11.06</v>
      </c>
      <c r="J13" s="165">
        <v>10.35</v>
      </c>
      <c r="K13" s="165">
        <f t="shared" si="0"/>
        <v>199.36</v>
      </c>
      <c r="L13" s="263">
        <v>185.06</v>
      </c>
      <c r="M13" s="263">
        <v>11.72</v>
      </c>
      <c r="N13" s="263">
        <v>10.96</v>
      </c>
      <c r="O13" s="165">
        <f t="shared" si="1"/>
        <v>207.74</v>
      </c>
    </row>
    <row r="14" spans="2:16" x14ac:dyDescent="0.25">
      <c r="C14" s="164" t="s">
        <v>42</v>
      </c>
      <c r="D14" s="165">
        <v>153.99</v>
      </c>
      <c r="E14" s="165">
        <v>10.59</v>
      </c>
      <c r="F14" s="165">
        <v>24.55</v>
      </c>
      <c r="G14" s="263">
        <f t="shared" si="2"/>
        <v>189.13000000000002</v>
      </c>
      <c r="H14" s="165">
        <v>163.44</v>
      </c>
      <c r="I14" s="165">
        <v>11.97</v>
      </c>
      <c r="J14" s="165">
        <v>26.09</v>
      </c>
      <c r="K14" s="165">
        <f t="shared" si="0"/>
        <v>201.5</v>
      </c>
      <c r="L14" s="263">
        <v>169.98</v>
      </c>
      <c r="M14" s="263">
        <v>12.68</v>
      </c>
      <c r="N14" s="263">
        <v>27.65</v>
      </c>
      <c r="O14" s="165">
        <f t="shared" si="1"/>
        <v>210.31</v>
      </c>
    </row>
    <row r="15" spans="2:16" x14ac:dyDescent="0.25">
      <c r="C15" s="164" t="s">
        <v>310</v>
      </c>
      <c r="D15" s="165">
        <v>52.52</v>
      </c>
      <c r="E15" s="165">
        <v>1.48</v>
      </c>
      <c r="F15" s="165">
        <v>2.2999999999999998</v>
      </c>
      <c r="G15" s="263">
        <f t="shared" si="2"/>
        <v>56.3</v>
      </c>
      <c r="H15" s="165">
        <v>54.84</v>
      </c>
      <c r="I15" s="165">
        <v>1.59</v>
      </c>
      <c r="J15" s="165">
        <v>5.15</v>
      </c>
      <c r="K15" s="165">
        <f t="shared" si="0"/>
        <v>61.58</v>
      </c>
      <c r="L15" s="263">
        <v>57.03</v>
      </c>
      <c r="M15" s="263">
        <v>1.68</v>
      </c>
      <c r="N15" s="263">
        <v>5.47</v>
      </c>
      <c r="O15" s="165">
        <f t="shared" si="1"/>
        <v>64.180000000000007</v>
      </c>
    </row>
    <row r="16" spans="2:16" x14ac:dyDescent="0.25">
      <c r="C16" s="164" t="s">
        <v>14</v>
      </c>
      <c r="D16" s="165">
        <v>8.3699999999999992</v>
      </c>
      <c r="E16" s="165">
        <v>0.23</v>
      </c>
      <c r="F16" s="165">
        <v>0.28999999999999998</v>
      </c>
      <c r="G16" s="263">
        <f t="shared" si="2"/>
        <v>8.8899999999999988</v>
      </c>
      <c r="H16" s="165">
        <v>8.74</v>
      </c>
      <c r="I16" s="165">
        <v>0.25</v>
      </c>
      <c r="J16" s="165">
        <v>0.3</v>
      </c>
      <c r="K16" s="165">
        <f t="shared" si="0"/>
        <v>9.2899999999999991</v>
      </c>
      <c r="L16" s="263">
        <v>9.09</v>
      </c>
      <c r="M16" s="263">
        <v>0.26</v>
      </c>
      <c r="N16" s="263">
        <v>0.32</v>
      </c>
      <c r="O16" s="165">
        <f t="shared" si="1"/>
        <v>9.67</v>
      </c>
    </row>
    <row r="17" spans="3:15" s="178" customFormat="1" x14ac:dyDescent="0.25">
      <c r="C17" s="177" t="s">
        <v>311</v>
      </c>
      <c r="D17" s="165">
        <v>8.23</v>
      </c>
      <c r="E17" s="165">
        <v>0.22</v>
      </c>
      <c r="F17" s="165">
        <v>0.28000000000000003</v>
      </c>
      <c r="G17" s="263">
        <f t="shared" si="2"/>
        <v>8.73</v>
      </c>
      <c r="H17" s="165">
        <v>8.58</v>
      </c>
      <c r="I17" s="165">
        <v>0.24</v>
      </c>
      <c r="J17" s="165">
        <v>0.3</v>
      </c>
      <c r="K17" s="165">
        <f t="shared" si="0"/>
        <v>9.1199999999999992</v>
      </c>
      <c r="L17" s="263">
        <v>8.93</v>
      </c>
      <c r="M17" s="263">
        <v>0.26</v>
      </c>
      <c r="N17" s="263">
        <v>0.32</v>
      </c>
      <c r="O17" s="165">
        <f t="shared" si="1"/>
        <v>9.51</v>
      </c>
    </row>
    <row r="18" spans="3:15" x14ac:dyDescent="0.25">
      <c r="C18" s="164" t="s">
        <v>43</v>
      </c>
      <c r="D18" s="165">
        <v>47.36</v>
      </c>
      <c r="E18" s="165">
        <v>1.97</v>
      </c>
      <c r="F18" s="165">
        <v>4.28</v>
      </c>
      <c r="G18" s="263">
        <f t="shared" si="2"/>
        <v>53.61</v>
      </c>
      <c r="H18" s="165">
        <v>50.12</v>
      </c>
      <c r="I18" s="165">
        <v>2.15</v>
      </c>
      <c r="J18" s="165">
        <v>10.59</v>
      </c>
      <c r="K18" s="165">
        <f t="shared" si="0"/>
        <v>62.86</v>
      </c>
      <c r="L18" s="263">
        <v>52.12</v>
      </c>
      <c r="M18" s="263">
        <v>2.2799999999999998</v>
      </c>
      <c r="N18" s="263">
        <v>11.23</v>
      </c>
      <c r="O18" s="165">
        <f t="shared" si="1"/>
        <v>65.63</v>
      </c>
    </row>
    <row r="19" spans="3:15" x14ac:dyDescent="0.25">
      <c r="C19" s="164" t="s">
        <v>44</v>
      </c>
      <c r="D19" s="165">
        <v>47.82</v>
      </c>
      <c r="E19" s="165">
        <v>1.99</v>
      </c>
      <c r="F19" s="165">
        <v>4.29</v>
      </c>
      <c r="G19" s="263">
        <f t="shared" si="2"/>
        <v>54.1</v>
      </c>
      <c r="H19" s="165">
        <v>50.61</v>
      </c>
      <c r="I19" s="165">
        <v>2.16</v>
      </c>
      <c r="J19" s="165">
        <v>10.61</v>
      </c>
      <c r="K19" s="165">
        <f t="shared" si="0"/>
        <v>63.38</v>
      </c>
      <c r="L19" s="263">
        <v>52.63</v>
      </c>
      <c r="M19" s="263">
        <v>2.29</v>
      </c>
      <c r="N19" s="263">
        <v>11.24</v>
      </c>
      <c r="O19" s="165">
        <f t="shared" si="1"/>
        <v>66.16</v>
      </c>
    </row>
    <row r="20" spans="3:15" x14ac:dyDescent="0.25">
      <c r="C20" s="164" t="s">
        <v>45</v>
      </c>
      <c r="D20" s="165">
        <v>38.340000000000003</v>
      </c>
      <c r="E20" s="165">
        <v>1.35</v>
      </c>
      <c r="F20" s="165">
        <v>3.89</v>
      </c>
      <c r="G20" s="263">
        <f t="shared" si="2"/>
        <v>43.580000000000005</v>
      </c>
      <c r="H20" s="165">
        <v>40.32</v>
      </c>
      <c r="I20" s="165">
        <v>1.46</v>
      </c>
      <c r="J20" s="165">
        <v>4.3099999999999996</v>
      </c>
      <c r="K20" s="165">
        <f t="shared" si="0"/>
        <v>46.09</v>
      </c>
      <c r="L20" s="263">
        <v>41.93</v>
      </c>
      <c r="M20" s="263">
        <v>1.54</v>
      </c>
      <c r="N20" s="263">
        <v>4.57</v>
      </c>
      <c r="O20" s="165">
        <f t="shared" si="1"/>
        <v>48.04</v>
      </c>
    </row>
    <row r="21" spans="3:15" s="141" customFormat="1" x14ac:dyDescent="0.25">
      <c r="C21" s="166" t="s">
        <v>19</v>
      </c>
      <c r="D21" s="167">
        <f>SUM(D6:D20)</f>
        <v>2278.3500000000004</v>
      </c>
      <c r="E21" s="167">
        <f>ROUND(SUM(E6:E20),2)</f>
        <v>112.03</v>
      </c>
      <c r="F21" s="167">
        <f>SUM(F6:F20)</f>
        <v>310.48999999999995</v>
      </c>
      <c r="G21" s="265">
        <f t="shared" ref="G21:O21" si="3">SUM(G6:G20)</f>
        <v>2700.87</v>
      </c>
      <c r="H21" s="167">
        <f t="shared" si="3"/>
        <v>2369.5299999999997</v>
      </c>
      <c r="I21" s="167">
        <f t="shared" si="3"/>
        <v>122.78</v>
      </c>
      <c r="J21" s="167">
        <f>SUM(J6:J20)</f>
        <v>344.09999999999997</v>
      </c>
      <c r="K21" s="167">
        <f t="shared" si="3"/>
        <v>2836.4100000000003</v>
      </c>
      <c r="L21" s="167">
        <f t="shared" si="3"/>
        <v>2464.29</v>
      </c>
      <c r="M21" s="167">
        <f t="shared" si="3"/>
        <v>130.12</v>
      </c>
      <c r="N21" s="167">
        <f>SUM(N6:N20)</f>
        <v>364.72999999999996</v>
      </c>
      <c r="O21" s="167">
        <f t="shared" si="3"/>
        <v>2959.1400000000003</v>
      </c>
    </row>
    <row r="22" spans="3:15" ht="15" hidden="1" customHeight="1" x14ac:dyDescent="0.25">
      <c r="C22" s="164" t="s">
        <v>283</v>
      </c>
      <c r="D22" s="165">
        <f>'[1]Ex YTPS O&amp;M '!J12</f>
        <v>0</v>
      </c>
      <c r="E22" s="165">
        <f>'[1]Ex YTPS O&amp;M '!L12</f>
        <v>0</v>
      </c>
      <c r="F22" s="165">
        <f>'[1]Ex YTPS O&amp;M '!K12</f>
        <v>0</v>
      </c>
      <c r="G22" s="168">
        <f>E22+F22+D22</f>
        <v>0</v>
      </c>
      <c r="H22" s="4"/>
      <c r="I22" s="4"/>
      <c r="J22" s="4"/>
      <c r="K22" s="168">
        <f>I22+J22+H22</f>
        <v>0</v>
      </c>
      <c r="L22" s="168"/>
      <c r="M22" s="4"/>
      <c r="N22" s="4"/>
      <c r="O22" s="4"/>
    </row>
    <row r="23" spans="3:15" ht="15" hidden="1" customHeight="1" x14ac:dyDescent="0.25">
      <c r="C23" s="4"/>
      <c r="D23" s="168">
        <f>D22+D21</f>
        <v>2278.3500000000004</v>
      </c>
      <c r="E23" s="168">
        <f>E22+E21</f>
        <v>112.03</v>
      </c>
      <c r="F23" s="168">
        <f>F22+F21</f>
        <v>310.48999999999995</v>
      </c>
      <c r="G23" s="168">
        <f>G22+G21</f>
        <v>2700.87</v>
      </c>
      <c r="H23" s="4"/>
      <c r="I23" s="4"/>
      <c r="J23" s="4"/>
      <c r="K23" s="168">
        <f>I23+J23+H23</f>
        <v>0</v>
      </c>
      <c r="L23" s="168"/>
      <c r="M23" s="4"/>
      <c r="N23" s="4"/>
      <c r="O23" s="4"/>
    </row>
    <row r="24" spans="3:15" ht="15" hidden="1" customHeight="1" x14ac:dyDescent="0.25"/>
    <row r="25" spans="3:15" ht="15" hidden="1" customHeight="1" x14ac:dyDescent="0.25"/>
    <row r="26" spans="3:15" ht="15" hidden="1" customHeight="1" x14ac:dyDescent="0.25"/>
    <row r="27" spans="3:15" ht="15" hidden="1" customHeight="1" x14ac:dyDescent="0.25"/>
    <row r="28" spans="3:15" ht="15" hidden="1" customHeight="1" x14ac:dyDescent="0.25"/>
    <row r="29" spans="3:15" ht="15" hidden="1" customHeight="1" x14ac:dyDescent="0.25"/>
    <row r="30" spans="3:15" ht="15" hidden="1" customHeight="1" x14ac:dyDescent="0.25"/>
    <row r="31" spans="3:15" ht="15" hidden="1" customHeight="1" x14ac:dyDescent="0.25">
      <c r="D31" s="169">
        <v>4.8775211229999993</v>
      </c>
      <c r="E31" s="169">
        <v>4.0014755079999995</v>
      </c>
      <c r="F31" s="169">
        <v>0.38675569999999998</v>
      </c>
    </row>
    <row r="32" spans="3:15" ht="15" hidden="1" customHeight="1" x14ac:dyDescent="0.25"/>
    <row r="33" spans="3:10" ht="15" hidden="1" customHeight="1" x14ac:dyDescent="0.25">
      <c r="D33">
        <v>2283.23</v>
      </c>
      <c r="E33">
        <v>116.04</v>
      </c>
      <c r="F33">
        <v>310.86</v>
      </c>
    </row>
    <row r="34" spans="3:10" ht="15" hidden="1" customHeight="1" x14ac:dyDescent="0.25">
      <c r="D34" s="45">
        <f>D33-D21</f>
        <v>4.8799999999996544</v>
      </c>
      <c r="E34" s="45">
        <f>E33-E21</f>
        <v>4.0100000000000051</v>
      </c>
      <c r="F34" s="45">
        <f>F33-F21</f>
        <v>0.37000000000006139</v>
      </c>
    </row>
    <row r="35" spans="3:10" ht="15" hidden="1" customHeight="1" x14ac:dyDescent="0.25">
      <c r="C35" t="s">
        <v>283</v>
      </c>
      <c r="D35" s="45">
        <v>4.88</v>
      </c>
      <c r="E35" s="45">
        <v>4.0042555740000125</v>
      </c>
      <c r="F35" s="45">
        <v>0.38779857499997661</v>
      </c>
    </row>
    <row r="36" spans="3:10" ht="15" hidden="1" customHeight="1" x14ac:dyDescent="0.25">
      <c r="D36" s="45">
        <f>D35-D34</f>
        <v>3.4550140526334872E-13</v>
      </c>
      <c r="E36" s="45">
        <f t="shared" ref="E36" si="4">E35-E34</f>
        <v>-5.7444259999925862E-3</v>
      </c>
      <c r="F36" s="45">
        <f>F35-F34</f>
        <v>1.7798574999915218E-2</v>
      </c>
    </row>
    <row r="37" spans="3:10" ht="15" hidden="1" customHeight="1" x14ac:dyDescent="0.25"/>
    <row r="38" spans="3:10" ht="15" hidden="1" customHeight="1" x14ac:dyDescent="0.25">
      <c r="E38" s="45">
        <f>E21*1.06</f>
        <v>118.7518</v>
      </c>
      <c r="F38" s="45">
        <f>F21*1.06</f>
        <v>329.11939999999998</v>
      </c>
      <c r="I38" s="45">
        <f>I21*1.06</f>
        <v>130.14680000000001</v>
      </c>
      <c r="J38" s="45">
        <f>J21*1.06</f>
        <v>364.74599999999998</v>
      </c>
    </row>
    <row r="39" spans="3:10" ht="15" hidden="1" customHeight="1" x14ac:dyDescent="0.25"/>
    <row r="40" spans="3:10" ht="15" hidden="1" customHeight="1" x14ac:dyDescent="0.25">
      <c r="F40" t="s">
        <v>312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1:AD75"/>
  <sheetViews>
    <sheetView tabSelected="1" topLeftCell="A27" zoomScale="78" zoomScaleNormal="78" workbookViewId="0">
      <selection activeCell="I37" sqref="I37:I43"/>
    </sheetView>
  </sheetViews>
  <sheetFormatPr defaultColWidth="13.7109375" defaultRowHeight="15" x14ac:dyDescent="0.2"/>
  <cols>
    <col min="1" max="1" width="2.85546875" style="40" customWidth="1"/>
    <col min="2" max="2" width="15.5703125" style="40" customWidth="1"/>
    <col min="3" max="3" width="10.7109375" style="40" customWidth="1"/>
    <col min="4" max="4" width="10.42578125" style="40" customWidth="1"/>
    <col min="5" max="5" width="9.5703125" style="40" customWidth="1"/>
    <col min="6" max="6" width="9.85546875" style="40" customWidth="1"/>
    <col min="7" max="7" width="10.42578125" style="40" customWidth="1"/>
    <col min="8" max="8" width="8.42578125" style="40" customWidth="1"/>
    <col min="9" max="9" width="13" style="40" customWidth="1"/>
    <col min="10" max="16384" width="13.7109375" style="40"/>
  </cols>
  <sheetData>
    <row r="1" spans="2:25" ht="15.75" x14ac:dyDescent="0.25">
      <c r="C1" s="387"/>
      <c r="D1" s="387"/>
      <c r="E1" s="387"/>
      <c r="F1" s="387" t="s">
        <v>105</v>
      </c>
      <c r="G1" s="387"/>
      <c r="H1" s="387"/>
      <c r="I1" s="387"/>
    </row>
    <row r="2" spans="2:25" ht="15.75" x14ac:dyDescent="0.25">
      <c r="C2" s="387"/>
      <c r="D2" s="387"/>
      <c r="E2" s="387"/>
      <c r="F2" s="387" t="s">
        <v>191</v>
      </c>
      <c r="G2" s="387"/>
      <c r="H2" s="387"/>
      <c r="I2" s="387"/>
    </row>
    <row r="3" spans="2:25" ht="27" customHeight="1" x14ac:dyDescent="0.25">
      <c r="B3" s="504" t="s">
        <v>360</v>
      </c>
      <c r="C3" s="504"/>
      <c r="D3" s="504"/>
      <c r="E3" s="504"/>
      <c r="F3" s="504"/>
      <c r="G3" s="504"/>
      <c r="H3" s="504"/>
      <c r="I3" s="504"/>
      <c r="K3" s="61" t="s">
        <v>200</v>
      </c>
    </row>
    <row r="4" spans="2:25" ht="30.75" customHeight="1" x14ac:dyDescent="0.2">
      <c r="B4" s="60" t="s">
        <v>35</v>
      </c>
      <c r="C4" s="60" t="s">
        <v>48</v>
      </c>
      <c r="D4" s="60" t="s">
        <v>126</v>
      </c>
      <c r="E4" s="60" t="s">
        <v>127</v>
      </c>
      <c r="F4" s="60" t="s">
        <v>128</v>
      </c>
      <c r="G4" s="60" t="s">
        <v>51</v>
      </c>
      <c r="H4" s="60" t="s">
        <v>98</v>
      </c>
      <c r="I4" s="60" t="s">
        <v>129</v>
      </c>
      <c r="K4" s="59" t="s">
        <v>1</v>
      </c>
      <c r="L4" s="59" t="s">
        <v>2</v>
      </c>
      <c r="M4" s="388" t="s">
        <v>197</v>
      </c>
      <c r="N4" s="389" t="s">
        <v>199</v>
      </c>
      <c r="O4" s="389" t="s">
        <v>201</v>
      </c>
      <c r="P4" s="390" t="s">
        <v>198</v>
      </c>
      <c r="Q4" s="389" t="s">
        <v>104</v>
      </c>
      <c r="R4" s="391" t="s">
        <v>73</v>
      </c>
      <c r="S4" s="391" t="s">
        <v>202</v>
      </c>
      <c r="X4" s="83" t="s">
        <v>406</v>
      </c>
      <c r="Y4" s="40" t="s">
        <v>449</v>
      </c>
    </row>
    <row r="5" spans="2:25" ht="18.75" customHeight="1" x14ac:dyDescent="0.25">
      <c r="B5" s="83" t="s">
        <v>38</v>
      </c>
      <c r="C5" s="392">
        <f>'O&amp;M'!G6</f>
        <v>285.65000000000003</v>
      </c>
      <c r="D5" s="392">
        <f>'Dep''n 23-27'!D5</f>
        <v>29.19</v>
      </c>
      <c r="E5" s="392">
        <f>'Int. on Loan 24-26'!C4</f>
        <v>0</v>
      </c>
      <c r="F5" s="392">
        <f ca="1">'IoWC Cal''n'!N5</f>
        <v>36.450000000000003</v>
      </c>
      <c r="G5" s="392">
        <f>'ROE '!C5</f>
        <v>141.36000000000001</v>
      </c>
      <c r="H5" s="392">
        <f>'F8-NTI'!B4</f>
        <v>8.35</v>
      </c>
      <c r="I5" s="392">
        <f t="shared" ref="I5:I11" ca="1" si="0">SUM(C5:G5)-H5</f>
        <v>484.3</v>
      </c>
      <c r="K5" s="393">
        <v>1</v>
      </c>
      <c r="L5" s="394" t="s">
        <v>4</v>
      </c>
      <c r="M5" s="395">
        <v>1.44</v>
      </c>
      <c r="N5" s="395">
        <v>206.99</v>
      </c>
      <c r="O5" s="395">
        <v>104.8</v>
      </c>
      <c r="P5" s="395">
        <v>0.23</v>
      </c>
      <c r="Q5" s="395">
        <v>33.74</v>
      </c>
      <c r="R5" s="395">
        <v>15.22</v>
      </c>
      <c r="S5" s="396">
        <f>SUM(M5:Q5)-R5</f>
        <v>331.98</v>
      </c>
      <c r="X5" s="10">
        <v>81.150000000000006</v>
      </c>
      <c r="Y5" s="126">
        <f ca="1">I5*X5/85</f>
        <v>462.36405882352949</v>
      </c>
    </row>
    <row r="6" spans="2:25" ht="18.75" customHeight="1" x14ac:dyDescent="0.25">
      <c r="B6" s="83" t="s">
        <v>39</v>
      </c>
      <c r="C6" s="392">
        <f>'O&amp;M'!G7</f>
        <v>285.65000000000003</v>
      </c>
      <c r="D6" s="392">
        <f>'Dep''n 23-27'!D6</f>
        <v>22.51</v>
      </c>
      <c r="E6" s="392">
        <f>'Int. on Loan 24-26'!C5</f>
        <v>0</v>
      </c>
      <c r="F6" s="392">
        <f ca="1">'IoWC Cal''n'!N6</f>
        <v>36.29</v>
      </c>
      <c r="G6" s="392">
        <f>'ROE '!C6</f>
        <v>153.76</v>
      </c>
      <c r="H6" s="392">
        <f>'F8-NTI'!B5</f>
        <v>8.35</v>
      </c>
      <c r="I6" s="392">
        <f t="shared" ca="1" si="0"/>
        <v>489.86</v>
      </c>
      <c r="K6" s="393">
        <v>2</v>
      </c>
      <c r="L6" s="394" t="s">
        <v>5</v>
      </c>
      <c r="M6" s="395">
        <v>45.25</v>
      </c>
      <c r="N6" s="395">
        <v>206.97</v>
      </c>
      <c r="O6" s="395">
        <v>114.02</v>
      </c>
      <c r="P6" s="395">
        <v>0</v>
      </c>
      <c r="Q6" s="395">
        <v>32.96</v>
      </c>
      <c r="R6" s="395">
        <v>8.5299999999999994</v>
      </c>
      <c r="S6" s="396">
        <f t="shared" ref="S6:S19" si="1">SUM(M6:Q6)-R6</f>
        <v>390.67</v>
      </c>
      <c r="X6" s="10">
        <v>94.91</v>
      </c>
      <c r="Y6" s="126">
        <f t="shared" ref="Y6:Y11" ca="1" si="2">I6*X6/85</f>
        <v>546.97191294117647</v>
      </c>
    </row>
    <row r="7" spans="2:25" ht="18.75" customHeight="1" x14ac:dyDescent="0.25">
      <c r="B7" s="83" t="s">
        <v>40</v>
      </c>
      <c r="C7" s="392">
        <f>'O&amp;M'!G8</f>
        <v>536.74</v>
      </c>
      <c r="D7" s="392">
        <f>'Dep''n 23-27'!D7</f>
        <v>174.74</v>
      </c>
      <c r="E7" s="392">
        <f>'Int. on Loan 24-26'!C6</f>
        <v>220.61</v>
      </c>
      <c r="F7" s="392">
        <f ca="1">'IoWC Cal''n'!N7</f>
        <v>62.76</v>
      </c>
      <c r="G7" s="392">
        <f>'ROE '!C7</f>
        <v>317.57</v>
      </c>
      <c r="H7" s="392">
        <f>'F8-NTI'!B6</f>
        <v>12.92</v>
      </c>
      <c r="I7" s="392">
        <f t="shared" ca="1" si="0"/>
        <v>1299.5</v>
      </c>
      <c r="K7" s="393">
        <v>3</v>
      </c>
      <c r="L7" s="394" t="s">
        <v>6</v>
      </c>
      <c r="M7" s="395">
        <v>186.42</v>
      </c>
      <c r="N7" s="395">
        <v>483.04</v>
      </c>
      <c r="O7" s="395">
        <v>243.82</v>
      </c>
      <c r="P7" s="395">
        <v>242.01</v>
      </c>
      <c r="Q7" s="395">
        <v>61.34</v>
      </c>
      <c r="R7" s="395">
        <v>10.83</v>
      </c>
      <c r="S7" s="396">
        <f t="shared" si="1"/>
        <v>1205.8</v>
      </c>
      <c r="X7" s="10">
        <v>87.55</v>
      </c>
      <c r="Y7" s="126">
        <f t="shared" ca="1" si="2"/>
        <v>1338.4849999999999</v>
      </c>
    </row>
    <row r="8" spans="2:25" ht="18.75" customHeight="1" x14ac:dyDescent="0.25">
      <c r="B8" s="83" t="s">
        <v>7</v>
      </c>
      <c r="C8" s="392">
        <f>'O&amp;M'!G9</f>
        <v>23.780000000000005</v>
      </c>
      <c r="D8" s="392">
        <f>'Depn. Cal''n'!L38</f>
        <v>3.32</v>
      </c>
      <c r="E8" s="392">
        <f>'Int on Loan Sheet'!P7</f>
        <v>0</v>
      </c>
      <c r="F8" s="392">
        <f ca="1">'IoWC Cal''n'!O8</f>
        <v>1.23</v>
      </c>
      <c r="G8" s="392">
        <f>'ROE '!C8</f>
        <v>1.39</v>
      </c>
      <c r="H8" s="392">
        <f>'F8-NTI'!B7</f>
        <v>1.8</v>
      </c>
      <c r="I8" s="392">
        <f t="shared" ca="1" si="0"/>
        <v>27.920000000000005</v>
      </c>
      <c r="K8" s="393"/>
      <c r="L8" s="394"/>
      <c r="M8" s="395"/>
      <c r="N8" s="395"/>
      <c r="O8" s="395"/>
      <c r="P8" s="395"/>
      <c r="Q8" s="395"/>
      <c r="R8" s="395"/>
      <c r="S8" s="396"/>
      <c r="X8" s="10">
        <v>6.06</v>
      </c>
      <c r="Y8" s="126">
        <f t="shared" ca="1" si="2"/>
        <v>1.9905317647058827</v>
      </c>
    </row>
    <row r="9" spans="2:25" ht="18.75" customHeight="1" x14ac:dyDescent="0.25">
      <c r="B9" s="83" t="s">
        <v>36</v>
      </c>
      <c r="C9" s="392">
        <f>'O&amp;M'!G10</f>
        <v>234.28</v>
      </c>
      <c r="D9" s="392">
        <f>'Dep''n 23-27'!D9</f>
        <v>17.5</v>
      </c>
      <c r="E9" s="392">
        <f>'Int. on Loan 24-26'!C8</f>
        <v>0</v>
      </c>
      <c r="F9" s="392">
        <f ca="1">'IoWC Cal''n'!N9</f>
        <v>34.409999999999997</v>
      </c>
      <c r="G9" s="392">
        <f>'ROE '!C9</f>
        <v>158.4</v>
      </c>
      <c r="H9" s="392">
        <f>'F8-NTI'!B8</f>
        <v>9.9</v>
      </c>
      <c r="I9" s="392">
        <f t="shared" ca="1" si="0"/>
        <v>434.69000000000005</v>
      </c>
      <c r="K9" s="393">
        <v>5</v>
      </c>
      <c r="L9" s="394" t="s">
        <v>8</v>
      </c>
      <c r="M9" s="395">
        <v>88.68</v>
      </c>
      <c r="N9" s="395">
        <v>180.28</v>
      </c>
      <c r="O9" s="395">
        <v>117.51</v>
      </c>
      <c r="P9" s="397"/>
      <c r="Q9" s="395">
        <v>30.45</v>
      </c>
      <c r="R9" s="395">
        <v>28</v>
      </c>
      <c r="S9" s="396">
        <f t="shared" si="1"/>
        <v>388.92</v>
      </c>
      <c r="X9" s="10">
        <v>82.94</v>
      </c>
      <c r="Y9" s="126">
        <f t="shared" ca="1" si="2"/>
        <v>424.15516000000002</v>
      </c>
    </row>
    <row r="10" spans="2:25" ht="18.75" customHeight="1" x14ac:dyDescent="0.25">
      <c r="B10" s="83" t="s">
        <v>37</v>
      </c>
      <c r="C10" s="392">
        <f>'O&amp;M'!G11</f>
        <v>281.14</v>
      </c>
      <c r="D10" s="392">
        <f>'Dep''n 23-27'!D10</f>
        <v>113.12</v>
      </c>
      <c r="E10" s="392">
        <f>'Int. on Loan 24-26'!C9</f>
        <v>114.23</v>
      </c>
      <c r="F10" s="392">
        <f ca="1">'IoWC Cal''n'!N10</f>
        <v>45.72</v>
      </c>
      <c r="G10" s="392">
        <f>'ROE '!C10</f>
        <v>234.32</v>
      </c>
      <c r="H10" s="392">
        <f>'F8-NTI'!B9</f>
        <v>11.89</v>
      </c>
      <c r="I10" s="392">
        <f t="shared" ca="1" si="0"/>
        <v>776.64</v>
      </c>
      <c r="K10" s="393">
        <v>6</v>
      </c>
      <c r="L10" s="394" t="s">
        <v>9</v>
      </c>
      <c r="M10" s="395">
        <v>127.75</v>
      </c>
      <c r="N10" s="395">
        <v>204.77</v>
      </c>
      <c r="O10" s="395">
        <v>174.77</v>
      </c>
      <c r="P10" s="395">
        <v>96.93</v>
      </c>
      <c r="Q10" s="395">
        <v>37.36</v>
      </c>
      <c r="R10" s="395">
        <v>29.9</v>
      </c>
      <c r="S10" s="396">
        <f t="shared" si="1"/>
        <v>611.68000000000006</v>
      </c>
      <c r="X10" s="10">
        <v>76.37</v>
      </c>
      <c r="Y10" s="126">
        <f t="shared" ca="1" si="2"/>
        <v>697.78819764705884</v>
      </c>
    </row>
    <row r="11" spans="2:25" ht="18.75" customHeight="1" x14ac:dyDescent="0.25">
      <c r="B11" s="83" t="s">
        <v>10</v>
      </c>
      <c r="C11" s="392">
        <f>'O&amp;M'!G12</f>
        <v>451.38</v>
      </c>
      <c r="D11" s="392">
        <f>'Dep''n 23-27'!D11</f>
        <v>247.18</v>
      </c>
      <c r="E11" s="392">
        <f>'Int. on Loan 24-26'!C10</f>
        <v>398.58</v>
      </c>
      <c r="F11" s="398">
        <f ca="1">'IoWC Cal''n'!N11</f>
        <v>86.53</v>
      </c>
      <c r="G11" s="392">
        <f>'ROE '!C11</f>
        <v>465.1</v>
      </c>
      <c r="H11" s="392">
        <f>'F8-NTI'!B10</f>
        <v>15.16</v>
      </c>
      <c r="I11" s="392">
        <f t="shared" ca="1" si="0"/>
        <v>1633.61</v>
      </c>
      <c r="K11" s="393">
        <v>7</v>
      </c>
      <c r="L11" s="394" t="s">
        <v>10</v>
      </c>
      <c r="M11" s="395">
        <v>274.31</v>
      </c>
      <c r="N11" s="395">
        <v>189.59</v>
      </c>
      <c r="O11" s="395">
        <v>377.86</v>
      </c>
      <c r="P11" s="395">
        <v>387.89</v>
      </c>
      <c r="Q11" s="395">
        <v>70.14</v>
      </c>
      <c r="R11" s="395">
        <v>11.62</v>
      </c>
      <c r="S11" s="396">
        <f t="shared" si="1"/>
        <v>1288.1700000000003</v>
      </c>
      <c r="X11" s="10">
        <v>62.86</v>
      </c>
      <c r="Y11" s="126">
        <f t="shared" ca="1" si="2"/>
        <v>1208.1026423529411</v>
      </c>
    </row>
    <row r="12" spans="2:25" s="401" customFormat="1" ht="18.75" customHeight="1" x14ac:dyDescent="0.2">
      <c r="B12" s="399" t="s">
        <v>41</v>
      </c>
      <c r="C12" s="400">
        <f>'O&amp;M'!G13</f>
        <v>187.91</v>
      </c>
      <c r="D12" s="400">
        <f>'Dep''n 23-27'!D12</f>
        <v>58.92</v>
      </c>
      <c r="E12" s="400">
        <f>'Int. on Loan 24-26'!C11</f>
        <v>5.68</v>
      </c>
      <c r="F12" s="400">
        <f ca="1">'IoWC Cal''n'!N12</f>
        <v>8.6</v>
      </c>
      <c r="G12" s="400">
        <f>'ROE '!C12</f>
        <v>127.3</v>
      </c>
      <c r="H12" s="392">
        <f>'F8-NTI'!B11</f>
        <v>1.6</v>
      </c>
      <c r="I12" s="400">
        <f t="shared" ref="I12:I19" ca="1" si="3">SUM(C12:G12)-H12</f>
        <v>386.81</v>
      </c>
      <c r="K12" s="402">
        <v>8</v>
      </c>
      <c r="L12" s="403" t="s">
        <v>11</v>
      </c>
      <c r="M12" s="404">
        <v>87.97</v>
      </c>
      <c r="N12" s="404">
        <v>117.51</v>
      </c>
      <c r="O12" s="404">
        <v>73.069999999999993</v>
      </c>
      <c r="P12" s="404">
        <v>0</v>
      </c>
      <c r="Q12" s="404">
        <v>6.5</v>
      </c>
      <c r="R12" s="404">
        <v>1</v>
      </c>
      <c r="S12" s="405">
        <f t="shared" si="1"/>
        <v>284.05</v>
      </c>
      <c r="Y12" s="406">
        <f ca="1">I12</f>
        <v>386.81</v>
      </c>
    </row>
    <row r="13" spans="2:25" ht="18.75" customHeight="1" x14ac:dyDescent="0.2">
      <c r="B13" s="83" t="s">
        <v>42</v>
      </c>
      <c r="C13" s="392">
        <f>'O&amp;M'!G14</f>
        <v>189.13000000000002</v>
      </c>
      <c r="D13" s="392">
        <f>'Dep''n 23-27'!D13</f>
        <v>58.72</v>
      </c>
      <c r="E13" s="392">
        <f>'Int. on Loan 24-26'!C12</f>
        <v>41.45</v>
      </c>
      <c r="F13" s="392">
        <f ca="1">'IoWC Cal''n'!N13</f>
        <v>11.81</v>
      </c>
      <c r="G13" s="392">
        <f>'ROE '!C13</f>
        <v>224.31</v>
      </c>
      <c r="H13" s="392">
        <f>'F8-NTI'!B12</f>
        <v>7.38</v>
      </c>
      <c r="I13" s="392">
        <f t="shared" ca="1" si="3"/>
        <v>518.04000000000008</v>
      </c>
      <c r="K13" s="393">
        <v>9</v>
      </c>
      <c r="L13" s="394" t="s">
        <v>12</v>
      </c>
      <c r="M13" s="395">
        <v>86.43</v>
      </c>
      <c r="N13" s="395">
        <v>100.18</v>
      </c>
      <c r="O13" s="395">
        <v>128.07</v>
      </c>
      <c r="P13" s="395">
        <v>24.01</v>
      </c>
      <c r="Q13" s="395">
        <v>8.58</v>
      </c>
      <c r="R13" s="395">
        <v>2.81</v>
      </c>
      <c r="S13" s="396">
        <f t="shared" si="1"/>
        <v>344.46</v>
      </c>
      <c r="Y13" s="406">
        <f t="shared" ref="Y13:Y19" ca="1" si="4">I13</f>
        <v>518.04000000000008</v>
      </c>
    </row>
    <row r="14" spans="2:25" ht="18.75" customHeight="1" x14ac:dyDescent="0.2">
      <c r="B14" s="83" t="s">
        <v>13</v>
      </c>
      <c r="C14" s="392">
        <f>'O&amp;M'!G15</f>
        <v>56.3</v>
      </c>
      <c r="D14" s="392">
        <f>'Dep''n 23-27'!D14</f>
        <v>1.04</v>
      </c>
      <c r="E14" s="392">
        <f>'Int. on Loan 24-26'!C13</f>
        <v>0</v>
      </c>
      <c r="F14" s="392">
        <f ca="1">'IoWC Cal''n'!N14</f>
        <v>1.47</v>
      </c>
      <c r="G14" s="392">
        <f>'ROE '!C14</f>
        <v>8.07</v>
      </c>
      <c r="H14" s="392">
        <f>'F8-NTI'!B13</f>
        <v>0.14000000000000001</v>
      </c>
      <c r="I14" s="392">
        <f t="shared" ca="1" si="3"/>
        <v>66.739999999999995</v>
      </c>
      <c r="K14" s="393">
        <v>10</v>
      </c>
      <c r="L14" s="394" t="s">
        <v>13</v>
      </c>
      <c r="M14" s="395">
        <v>4.04</v>
      </c>
      <c r="N14" s="395">
        <v>42.19</v>
      </c>
      <c r="O14" s="395">
        <v>4.57</v>
      </c>
      <c r="P14" s="395">
        <v>0</v>
      </c>
      <c r="Q14" s="395">
        <v>1.1299999999999999</v>
      </c>
      <c r="R14" s="395">
        <v>0.26</v>
      </c>
      <c r="S14" s="396">
        <f t="shared" si="1"/>
        <v>51.67</v>
      </c>
      <c r="Y14" s="406">
        <f t="shared" ca="1" si="4"/>
        <v>66.739999999999995</v>
      </c>
    </row>
    <row r="15" spans="2:25" ht="18.75" customHeight="1" x14ac:dyDescent="0.2">
      <c r="B15" s="83" t="s">
        <v>14</v>
      </c>
      <c r="C15" s="392">
        <f>'O&amp;M'!G16</f>
        <v>8.8899999999999988</v>
      </c>
      <c r="D15" s="392">
        <f>'Dep''n 23-27'!D15</f>
        <v>0.34</v>
      </c>
      <c r="E15" s="392">
        <f>'Int. on Loan 24-26'!C14</f>
        <v>0.06</v>
      </c>
      <c r="F15" s="392">
        <f ca="1">'IoWC Cal''n'!N15</f>
        <v>0.26</v>
      </c>
      <c r="G15" s="392">
        <f>'ROE '!C15</f>
        <v>1.94</v>
      </c>
      <c r="H15" s="392">
        <f>'F8-NTI'!B14</f>
        <v>0.02</v>
      </c>
      <c r="I15" s="392">
        <f t="shared" ca="1" si="3"/>
        <v>11.469999999999999</v>
      </c>
      <c r="K15" s="393">
        <v>11</v>
      </c>
      <c r="L15" s="394" t="s">
        <v>14</v>
      </c>
      <c r="M15" s="395">
        <v>0.9</v>
      </c>
      <c r="N15" s="395">
        <v>7.27</v>
      </c>
      <c r="O15" s="395">
        <v>1.57</v>
      </c>
      <c r="P15" s="395">
        <v>0</v>
      </c>
      <c r="Q15" s="395">
        <v>0.22</v>
      </c>
      <c r="R15" s="395">
        <v>0.09</v>
      </c>
      <c r="S15" s="396">
        <f t="shared" si="1"/>
        <v>9.870000000000001</v>
      </c>
      <c r="Y15" s="406">
        <f t="shared" ca="1" si="4"/>
        <v>11.469999999999999</v>
      </c>
    </row>
    <row r="16" spans="2:25" ht="18.75" customHeight="1" x14ac:dyDescent="0.2">
      <c r="B16" s="83" t="s">
        <v>15</v>
      </c>
      <c r="C16" s="392">
        <f>'O&amp;M'!G17</f>
        <v>8.73</v>
      </c>
      <c r="D16" s="392">
        <f>'Dep''n 23-27'!D16</f>
        <v>0.57999999999999996</v>
      </c>
      <c r="E16" s="392">
        <f>'Int. on Loan 24-26'!C15</f>
        <v>0.89</v>
      </c>
      <c r="F16" s="392">
        <f ca="1">'IoWC Cal''n'!N16</f>
        <v>0.27</v>
      </c>
      <c r="G16" s="392">
        <f>'ROE '!C16</f>
        <v>1.97</v>
      </c>
      <c r="H16" s="392">
        <f>'F8-NTI'!B15</f>
        <v>0.02</v>
      </c>
      <c r="I16" s="392">
        <f t="shared" ca="1" si="3"/>
        <v>12.420000000000002</v>
      </c>
      <c r="K16" s="393">
        <v>12</v>
      </c>
      <c r="L16" s="394" t="s">
        <v>15</v>
      </c>
      <c r="M16" s="395">
        <v>0.72</v>
      </c>
      <c r="N16" s="395">
        <v>6.99</v>
      </c>
      <c r="O16" s="395">
        <v>1.1200000000000001</v>
      </c>
      <c r="P16" s="395">
        <v>0.65</v>
      </c>
      <c r="Q16" s="395">
        <v>0.21</v>
      </c>
      <c r="R16" s="395">
        <v>0.03</v>
      </c>
      <c r="S16" s="396">
        <f t="shared" si="1"/>
        <v>9.6600000000000019</v>
      </c>
      <c r="Y16" s="406">
        <f t="shared" ca="1" si="4"/>
        <v>12.420000000000002</v>
      </c>
    </row>
    <row r="17" spans="2:26" ht="18.75" customHeight="1" x14ac:dyDescent="0.2">
      <c r="B17" s="83" t="s">
        <v>43</v>
      </c>
      <c r="C17" s="392">
        <f>'O&amp;M'!G18</f>
        <v>53.61</v>
      </c>
      <c r="D17" s="392">
        <f>'Dep''n 23-27'!D17</f>
        <v>11.14</v>
      </c>
      <c r="E17" s="392">
        <f>'Int. on Loan 24-26'!C16</f>
        <v>15.59</v>
      </c>
      <c r="F17" s="392">
        <f ca="1">'IoWC Cal''n'!N17</f>
        <v>2.8</v>
      </c>
      <c r="G17" s="392">
        <f>'ROE '!C17</f>
        <v>43.03</v>
      </c>
      <c r="H17" s="392">
        <f>'F8-NTI'!B16</f>
        <v>0.31</v>
      </c>
      <c r="I17" s="392">
        <f t="shared" ca="1" si="3"/>
        <v>125.86</v>
      </c>
      <c r="K17" s="393">
        <v>13</v>
      </c>
      <c r="L17" s="394" t="s">
        <v>16</v>
      </c>
      <c r="M17" s="395">
        <v>20.11</v>
      </c>
      <c r="N17" s="395">
        <v>33.54</v>
      </c>
      <c r="O17" s="395">
        <v>23.83</v>
      </c>
      <c r="P17" s="395">
        <v>11.1</v>
      </c>
      <c r="Q17" s="395">
        <v>2.12</v>
      </c>
      <c r="R17" s="395">
        <v>0.28999999999999998</v>
      </c>
      <c r="S17" s="396">
        <f t="shared" si="1"/>
        <v>90.409999999999982</v>
      </c>
      <c r="Y17" s="406">
        <f t="shared" ca="1" si="4"/>
        <v>125.86</v>
      </c>
    </row>
    <row r="18" spans="2:26" ht="18.75" customHeight="1" x14ac:dyDescent="0.2">
      <c r="B18" s="83" t="s">
        <v>44</v>
      </c>
      <c r="C18" s="392">
        <f>'O&amp;M'!G19</f>
        <v>54.1</v>
      </c>
      <c r="D18" s="392">
        <f>'Dep''n 23-27'!D18</f>
        <v>27.02</v>
      </c>
      <c r="E18" s="392">
        <f>'Int. on Loan 24-26'!C17</f>
        <v>52.07</v>
      </c>
      <c r="F18" s="392">
        <f ca="1">'IoWC Cal''n'!N18</f>
        <v>5.25</v>
      </c>
      <c r="G18" s="392">
        <f>'ROE '!C18</f>
        <v>101.87</v>
      </c>
      <c r="H18" s="392">
        <f>'F8-NTI'!B17</f>
        <v>0.31</v>
      </c>
      <c r="I18" s="392">
        <f t="shared" ca="1" si="3"/>
        <v>240</v>
      </c>
      <c r="K18" s="393">
        <v>14</v>
      </c>
      <c r="L18" s="394" t="s">
        <v>17</v>
      </c>
      <c r="M18" s="395">
        <v>51.31</v>
      </c>
      <c r="N18" s="395">
        <v>33.68</v>
      </c>
      <c r="O18" s="395">
        <v>61.95</v>
      </c>
      <c r="P18" s="395">
        <v>46.89</v>
      </c>
      <c r="Q18" s="395">
        <v>4.4400000000000004</v>
      </c>
      <c r="R18" s="395">
        <v>0.17</v>
      </c>
      <c r="S18" s="396">
        <f t="shared" si="1"/>
        <v>198.1</v>
      </c>
      <c r="Y18" s="406">
        <f t="shared" ca="1" si="4"/>
        <v>240</v>
      </c>
    </row>
    <row r="19" spans="2:26" ht="18.75" customHeight="1" x14ac:dyDescent="0.2">
      <c r="B19" s="83" t="s">
        <v>45</v>
      </c>
      <c r="C19" s="392">
        <f>'O&amp;M'!G20</f>
        <v>43.580000000000005</v>
      </c>
      <c r="D19" s="392">
        <f>'Dep''n 23-27'!D19</f>
        <v>9.14</v>
      </c>
      <c r="E19" s="392">
        <f>'Int. on Loan 24-26'!C18</f>
        <v>23.04</v>
      </c>
      <c r="F19" s="392">
        <f ca="1">'IoWC Cal''n'!N19</f>
        <v>2.21</v>
      </c>
      <c r="G19" s="392">
        <f>'ROE '!C19</f>
        <v>29.16</v>
      </c>
      <c r="H19" s="392">
        <f>'F8-NTI'!B18</f>
        <v>0.24</v>
      </c>
      <c r="I19" s="392">
        <f t="shared" ca="1" si="3"/>
        <v>106.89</v>
      </c>
      <c r="K19" s="393">
        <v>15</v>
      </c>
      <c r="L19" s="394" t="s">
        <v>18</v>
      </c>
      <c r="M19" s="395">
        <v>10.220000000000001</v>
      </c>
      <c r="N19" s="395">
        <v>38.549999999999997</v>
      </c>
      <c r="O19" s="395">
        <v>16.989999999999998</v>
      </c>
      <c r="P19" s="395">
        <v>19.21</v>
      </c>
      <c r="Q19" s="395">
        <v>1.86</v>
      </c>
      <c r="R19" s="395">
        <v>0.5</v>
      </c>
      <c r="S19" s="396">
        <f t="shared" si="1"/>
        <v>86.33</v>
      </c>
      <c r="Y19" s="406">
        <f t="shared" ca="1" si="4"/>
        <v>106.89</v>
      </c>
    </row>
    <row r="20" spans="2:26" ht="18.75" customHeight="1" x14ac:dyDescent="0.25">
      <c r="B20" s="79" t="s">
        <v>19</v>
      </c>
      <c r="C20" s="441">
        <f t="shared" ref="C20:I20" si="5">SUM(C5:C19)</f>
        <v>2700.87</v>
      </c>
      <c r="D20" s="441">
        <f>SUM(D5:D19)</f>
        <v>774.45999999999992</v>
      </c>
      <c r="E20" s="441">
        <f>SUM(E5:E19)</f>
        <v>872.2</v>
      </c>
      <c r="F20" s="441">
        <f ca="1">SUM(F5:F19)</f>
        <v>336.06</v>
      </c>
      <c r="G20" s="441">
        <f t="shared" si="5"/>
        <v>2009.55</v>
      </c>
      <c r="H20" s="441">
        <f>SUM(H5:H19)</f>
        <v>78.389999999999986</v>
      </c>
      <c r="I20" s="441">
        <f t="shared" ca="1" si="5"/>
        <v>6614.75</v>
      </c>
      <c r="K20" s="393"/>
      <c r="L20" s="408" t="s">
        <v>203</v>
      </c>
      <c r="M20" s="61">
        <f t="shared" ref="M20:S20" si="6">SUM(M5:M19)</f>
        <v>985.55</v>
      </c>
      <c r="N20" s="61">
        <f t="shared" si="6"/>
        <v>1851.55</v>
      </c>
      <c r="O20" s="61">
        <f t="shared" si="6"/>
        <v>1443.9499999999996</v>
      </c>
      <c r="P20" s="61">
        <f t="shared" si="6"/>
        <v>828.92</v>
      </c>
      <c r="Q20" s="61">
        <f t="shared" si="6"/>
        <v>291.05</v>
      </c>
      <c r="R20" s="79">
        <f t="shared" si="6"/>
        <v>109.25000000000001</v>
      </c>
      <c r="S20" s="79">
        <f t="shared" si="6"/>
        <v>5291.77</v>
      </c>
      <c r="Y20" s="126">
        <f ca="1">SUM(Y5:Y19)</f>
        <v>6148.0875035294121</v>
      </c>
      <c r="Z20" s="160">
        <f ca="1">I20-Y20</f>
        <v>466.66249647058794</v>
      </c>
    </row>
    <row r="21" spans="2:26" ht="18.75" customHeight="1" x14ac:dyDescent="0.25">
      <c r="B21" s="79"/>
      <c r="C21" s="407"/>
      <c r="D21" s="407"/>
      <c r="E21" s="407"/>
      <c r="F21" s="407"/>
      <c r="G21" s="407"/>
      <c r="H21" s="407"/>
      <c r="I21" s="407"/>
      <c r="K21" s="409"/>
      <c r="M21" s="410"/>
      <c r="N21" s="411"/>
      <c r="O21" s="408"/>
      <c r="P21" s="410"/>
      <c r="Q21" s="410"/>
      <c r="R21" s="410"/>
      <c r="S21" s="396"/>
    </row>
    <row r="22" spans="2:26" ht="18.75" customHeight="1" x14ac:dyDescent="0.2">
      <c r="B22" s="83" t="s">
        <v>74</v>
      </c>
      <c r="C22" s="392"/>
      <c r="D22" s="392"/>
      <c r="E22" s="392"/>
      <c r="F22" s="392"/>
      <c r="G22" s="392"/>
      <c r="H22" s="392"/>
      <c r="I22" s="392">
        <v>1669.6</v>
      </c>
      <c r="K22" s="83"/>
      <c r="L22" s="397" t="s">
        <v>204</v>
      </c>
      <c r="M22" s="83"/>
      <c r="N22" s="397"/>
      <c r="O22" s="397"/>
      <c r="P22" s="397"/>
      <c r="Q22" s="397"/>
      <c r="R22" s="397"/>
      <c r="S22" s="397"/>
    </row>
    <row r="23" spans="2:26" ht="18.75" customHeight="1" x14ac:dyDescent="0.2">
      <c r="B23" s="83" t="s">
        <v>75</v>
      </c>
      <c r="C23" s="392"/>
      <c r="D23" s="392"/>
      <c r="E23" s="392"/>
      <c r="F23" s="392"/>
      <c r="G23" s="392"/>
      <c r="H23" s="392"/>
      <c r="I23" s="392">
        <v>35.380000000000003</v>
      </c>
      <c r="K23" s="83"/>
      <c r="L23" s="397" t="s">
        <v>176</v>
      </c>
      <c r="M23" s="83"/>
      <c r="N23" s="397"/>
      <c r="O23" s="397"/>
      <c r="P23" s="397"/>
      <c r="Q23" s="397"/>
      <c r="R23" s="397"/>
      <c r="S23" s="397"/>
    </row>
    <row r="24" spans="2:26" ht="18.75" customHeight="1" x14ac:dyDescent="0.25">
      <c r="B24" s="79" t="s">
        <v>19</v>
      </c>
      <c r="C24" s="441">
        <f t="shared" ref="C24:H24" si="7">C20+SUM(C22:C23)</f>
        <v>2700.87</v>
      </c>
      <c r="D24" s="441">
        <f>D20+SUM(D22:D23)</f>
        <v>774.45999999999992</v>
      </c>
      <c r="E24" s="441">
        <f>E20+SUM(E22:E23)</f>
        <v>872.2</v>
      </c>
      <c r="F24" s="441">
        <f ca="1">F20+SUM(F22:F23)</f>
        <v>336.06</v>
      </c>
      <c r="G24" s="441">
        <f t="shared" si="7"/>
        <v>2009.55</v>
      </c>
      <c r="H24" s="441">
        <f t="shared" si="7"/>
        <v>78.389999999999986</v>
      </c>
      <c r="I24" s="407">
        <f ca="1">I20+I21+I22+I23</f>
        <v>8319.73</v>
      </c>
      <c r="K24" s="83"/>
      <c r="L24" s="397" t="s">
        <v>195</v>
      </c>
      <c r="M24" s="83"/>
      <c r="N24" s="397"/>
      <c r="O24" s="397"/>
      <c r="P24" s="397"/>
      <c r="Q24" s="397"/>
      <c r="R24" s="397"/>
      <c r="S24" s="397"/>
    </row>
    <row r="25" spans="2:26" ht="18.75" customHeight="1" x14ac:dyDescent="0.2"/>
    <row r="26" spans="2:26" ht="18.75" customHeight="1" x14ac:dyDescent="0.25">
      <c r="E26" s="387" t="s">
        <v>105</v>
      </c>
      <c r="F26" s="387"/>
      <c r="G26" s="387"/>
      <c r="H26" s="387"/>
      <c r="I26" s="387"/>
      <c r="J26" s="387"/>
      <c r="K26" s="387"/>
      <c r="L26" s="387"/>
      <c r="M26" s="387"/>
      <c r="N26" s="387"/>
      <c r="O26" s="387"/>
      <c r="P26" s="387"/>
      <c r="Q26" s="387"/>
      <c r="R26" s="387"/>
      <c r="S26" s="387"/>
      <c r="T26" s="387"/>
      <c r="U26" s="387"/>
      <c r="V26" s="387"/>
      <c r="W26" s="387"/>
      <c r="X26" s="387"/>
    </row>
    <row r="27" spans="2:26" ht="18.75" customHeight="1" x14ac:dyDescent="0.25">
      <c r="B27" s="503" t="s">
        <v>192</v>
      </c>
      <c r="C27" s="503"/>
      <c r="D27" s="503"/>
      <c r="E27" s="503"/>
      <c r="F27" s="503"/>
      <c r="G27" s="503"/>
      <c r="H27" s="503"/>
      <c r="I27" s="503"/>
      <c r="J27" s="386"/>
      <c r="K27" s="386"/>
      <c r="L27" s="386"/>
      <c r="M27" s="386"/>
      <c r="N27" s="386"/>
      <c r="O27" s="386"/>
      <c r="P27" s="386"/>
      <c r="Q27" s="386"/>
      <c r="R27" s="386"/>
      <c r="S27" s="386"/>
      <c r="T27" s="386"/>
      <c r="U27" s="387"/>
      <c r="V27" s="387"/>
      <c r="W27" s="387"/>
      <c r="X27" s="386"/>
    </row>
    <row r="28" spans="2:26" ht="18.75" customHeight="1" x14ac:dyDescent="0.25">
      <c r="B28" s="501" t="s">
        <v>194</v>
      </c>
      <c r="C28" s="501"/>
      <c r="D28" s="501"/>
      <c r="E28" s="501"/>
      <c r="F28" s="501"/>
      <c r="G28" s="501"/>
      <c r="H28" s="501"/>
      <c r="I28" s="502"/>
      <c r="J28" s="83"/>
      <c r="K28" s="79" t="s">
        <v>205</v>
      </c>
      <c r="L28" s="83"/>
      <c r="M28" s="83"/>
      <c r="N28" s="83"/>
      <c r="O28" s="83"/>
      <c r="P28" s="83"/>
      <c r="Q28" s="83"/>
      <c r="R28" s="83"/>
      <c r="S28" s="83"/>
      <c r="T28" s="394"/>
      <c r="X28" s="412" t="s">
        <v>276</v>
      </c>
    </row>
    <row r="29" spans="2:26" ht="18.75" customHeight="1" x14ac:dyDescent="0.2">
      <c r="B29" s="60" t="s">
        <v>35</v>
      </c>
      <c r="C29" s="60" t="s">
        <v>48</v>
      </c>
      <c r="D29" s="60" t="s">
        <v>126</v>
      </c>
      <c r="E29" s="60" t="s">
        <v>127</v>
      </c>
      <c r="F29" s="60" t="s">
        <v>128</v>
      </c>
      <c r="G29" s="60" t="s">
        <v>51</v>
      </c>
      <c r="H29" s="60" t="s">
        <v>98</v>
      </c>
      <c r="I29" s="60" t="s">
        <v>129</v>
      </c>
      <c r="J29" s="413"/>
      <c r="K29" s="414" t="s">
        <v>1</v>
      </c>
      <c r="L29" s="414" t="s">
        <v>2</v>
      </c>
      <c r="M29" s="415" t="s">
        <v>197</v>
      </c>
      <c r="N29" s="416" t="s">
        <v>199</v>
      </c>
      <c r="O29" s="416" t="s">
        <v>201</v>
      </c>
      <c r="P29" s="417" t="s">
        <v>198</v>
      </c>
      <c r="Q29" s="416" t="s">
        <v>104</v>
      </c>
      <c r="R29" s="418" t="s">
        <v>73</v>
      </c>
      <c r="S29" s="418" t="s">
        <v>202</v>
      </c>
      <c r="T29" s="413"/>
      <c r="U29" s="413"/>
      <c r="V29" s="413"/>
      <c r="W29" s="413"/>
      <c r="X29" s="414"/>
    </row>
    <row r="30" spans="2:26" ht="18.75" customHeight="1" x14ac:dyDescent="0.2">
      <c r="B30" s="83" t="s">
        <v>38</v>
      </c>
      <c r="C30" s="392">
        <f>'O&amp;M'!K6</f>
        <v>299.98</v>
      </c>
      <c r="D30" s="392">
        <f>'Dep''n 23-27'!F5</f>
        <v>30.5</v>
      </c>
      <c r="E30" s="392">
        <f>'Int. on Loan 24-26'!D4</f>
        <v>0</v>
      </c>
      <c r="F30" s="392">
        <f ca="1">'IoWC 23-24'!D5</f>
        <v>36.28</v>
      </c>
      <c r="G30" s="392">
        <f>'ROE '!D5</f>
        <v>141.66</v>
      </c>
      <c r="H30" s="392">
        <f>'F8-NTI'!C4</f>
        <v>9.07</v>
      </c>
      <c r="I30" s="392">
        <f t="shared" ref="I30:I43" ca="1" si="8">SUM(C30:G30)-H30</f>
        <v>499.34999999999997</v>
      </c>
      <c r="K30" s="393">
        <v>1</v>
      </c>
      <c r="L30" s="394" t="s">
        <v>4</v>
      </c>
      <c r="M30" s="395">
        <v>1.44</v>
      </c>
      <c r="N30" s="395">
        <v>218.71</v>
      </c>
      <c r="O30" s="395">
        <v>141.46</v>
      </c>
      <c r="P30" s="395">
        <v>0.38</v>
      </c>
      <c r="Q30" s="395">
        <v>34.46</v>
      </c>
      <c r="R30" s="419">
        <v>15.83</v>
      </c>
      <c r="S30" s="420">
        <f>SUM(M30:Q30)-R30</f>
        <v>380.62</v>
      </c>
      <c r="X30" s="126">
        <f ca="1">I30/2</f>
        <v>249.67499999999998</v>
      </c>
      <c r="Y30" s="160"/>
    </row>
    <row r="31" spans="2:26" ht="18.75" customHeight="1" x14ac:dyDescent="0.2">
      <c r="B31" s="83" t="s">
        <v>39</v>
      </c>
      <c r="C31" s="392">
        <f>'O&amp;M'!K7</f>
        <v>299.98</v>
      </c>
      <c r="D31" s="392">
        <f>'Dep''n 23-27'!F6</f>
        <v>22.63</v>
      </c>
      <c r="E31" s="392">
        <f>'Int. on Loan 24-26'!D5</f>
        <v>0</v>
      </c>
      <c r="F31" s="392">
        <f ca="1">'IoWC 23-24'!D6</f>
        <v>37.71</v>
      </c>
      <c r="G31" s="392">
        <f>'ROE '!D6</f>
        <v>153.83000000000001</v>
      </c>
      <c r="H31" s="392">
        <f>'F8-NTI'!C5</f>
        <v>9.07</v>
      </c>
      <c r="I31" s="392">
        <f t="shared" ca="1" si="8"/>
        <v>505.08</v>
      </c>
      <c r="K31" s="393">
        <v>2</v>
      </c>
      <c r="L31" s="394" t="s">
        <v>5</v>
      </c>
      <c r="M31" s="395">
        <v>45.25</v>
      </c>
      <c r="N31" s="395">
        <v>218.59</v>
      </c>
      <c r="O31" s="395">
        <v>153.68</v>
      </c>
      <c r="P31" s="395">
        <v>0</v>
      </c>
      <c r="Q31" s="395">
        <v>33.700000000000003</v>
      </c>
      <c r="R31" s="419">
        <v>8.8699999999999992</v>
      </c>
      <c r="S31" s="420">
        <f t="shared" ref="S31:S44" si="9">SUM(M31:Q31)-R31</f>
        <v>442.35</v>
      </c>
      <c r="X31" s="126">
        <f t="shared" ref="X31:X43" ca="1" si="10">I31/2</f>
        <v>252.54</v>
      </c>
    </row>
    <row r="32" spans="2:26" ht="18.75" customHeight="1" x14ac:dyDescent="0.2">
      <c r="B32" s="83" t="s">
        <v>40</v>
      </c>
      <c r="C32" s="392">
        <f>'O&amp;M'!K8</f>
        <v>564.87</v>
      </c>
      <c r="D32" s="392">
        <f>'Dep''n 23-27'!F7</f>
        <v>174.82</v>
      </c>
      <c r="E32" s="392">
        <f>'Int. on Loan 24-26'!D6</f>
        <v>205.13</v>
      </c>
      <c r="F32" s="392">
        <f ca="1">'IoWC 23-24'!D7</f>
        <v>62.57</v>
      </c>
      <c r="G32" s="392">
        <f>'ROE '!D7</f>
        <v>317.66000000000003</v>
      </c>
      <c r="H32" s="392">
        <f>'F8-NTI'!C6</f>
        <v>13.7</v>
      </c>
      <c r="I32" s="392">
        <f t="shared" ca="1" si="8"/>
        <v>1311.3500000000001</v>
      </c>
      <c r="K32" s="393">
        <v>3</v>
      </c>
      <c r="L32" s="394" t="s">
        <v>6</v>
      </c>
      <c r="M32" s="395">
        <v>186.42</v>
      </c>
      <c r="N32" s="395">
        <v>510.66</v>
      </c>
      <c r="O32" s="395">
        <v>328.62</v>
      </c>
      <c r="P32" s="395">
        <v>223.03</v>
      </c>
      <c r="Q32" s="395">
        <v>62.76</v>
      </c>
      <c r="R32" s="419">
        <v>11.27</v>
      </c>
      <c r="S32" s="420">
        <f t="shared" si="9"/>
        <v>1300.22</v>
      </c>
      <c r="X32" s="126">
        <f t="shared" ca="1" si="10"/>
        <v>655.67500000000007</v>
      </c>
    </row>
    <row r="33" spans="2:24" ht="18.75" customHeight="1" x14ac:dyDescent="0.2">
      <c r="B33" s="83" t="s">
        <v>36</v>
      </c>
      <c r="C33" s="392">
        <f>'O&amp;M'!K10</f>
        <v>246.67</v>
      </c>
      <c r="D33" s="392">
        <f>'Dep''n 23-27'!F9</f>
        <v>17.89</v>
      </c>
      <c r="E33" s="392">
        <f>'Int. on Loan 24-26'!D8</f>
        <v>0</v>
      </c>
      <c r="F33" s="392">
        <f ca="1">'IoWC 23-24'!D9</f>
        <v>30.73</v>
      </c>
      <c r="G33" s="392">
        <f>'ROE '!D9</f>
        <v>158.62</v>
      </c>
      <c r="H33" s="392">
        <f>'F8-NTI'!C8</f>
        <v>10.31</v>
      </c>
      <c r="I33" s="392">
        <f t="shared" ca="1" si="8"/>
        <v>443.6</v>
      </c>
      <c r="K33" s="393">
        <v>5</v>
      </c>
      <c r="L33" s="394" t="s">
        <v>8</v>
      </c>
      <c r="M33" s="395">
        <v>88.68</v>
      </c>
      <c r="N33" s="395">
        <v>190.43</v>
      </c>
      <c r="O33" s="395">
        <v>158.38</v>
      </c>
      <c r="P33" s="397">
        <v>0</v>
      </c>
      <c r="Q33" s="395">
        <v>31.17</v>
      </c>
      <c r="R33" s="419">
        <v>29.13</v>
      </c>
      <c r="S33" s="420">
        <f t="shared" si="9"/>
        <v>439.53000000000003</v>
      </c>
      <c r="X33" s="126">
        <f t="shared" ca="1" si="10"/>
        <v>221.8</v>
      </c>
    </row>
    <row r="34" spans="2:24" ht="18.75" customHeight="1" x14ac:dyDescent="0.2">
      <c r="B34" s="83" t="s">
        <v>37</v>
      </c>
      <c r="C34" s="392">
        <f>'O&amp;M'!K11</f>
        <v>296</v>
      </c>
      <c r="D34" s="392">
        <f>'Dep''n 23-27'!F10</f>
        <v>113.37</v>
      </c>
      <c r="E34" s="392">
        <f>'Int. on Loan 24-26'!D9</f>
        <v>103.24</v>
      </c>
      <c r="F34" s="392">
        <f ca="1">'IoWC 23-24'!D10</f>
        <v>39.14</v>
      </c>
      <c r="G34" s="392">
        <f>'ROE '!D10</f>
        <v>234.55</v>
      </c>
      <c r="H34" s="392">
        <f>'F8-NTI'!C9</f>
        <v>12.38</v>
      </c>
      <c r="I34" s="392">
        <f t="shared" ca="1" si="8"/>
        <v>773.92</v>
      </c>
      <c r="K34" s="393">
        <v>6</v>
      </c>
      <c r="L34" s="394" t="s">
        <v>9</v>
      </c>
      <c r="M34" s="395">
        <v>127.75</v>
      </c>
      <c r="N34" s="395">
        <v>216.29</v>
      </c>
      <c r="O34" s="395">
        <v>235.56</v>
      </c>
      <c r="P34" s="395">
        <v>83.78</v>
      </c>
      <c r="Q34" s="395">
        <v>38.19</v>
      </c>
      <c r="R34" s="419">
        <v>31.09</v>
      </c>
      <c r="S34" s="420">
        <f t="shared" si="9"/>
        <v>670.4799999999999</v>
      </c>
      <c r="X34" s="126">
        <f t="shared" ca="1" si="10"/>
        <v>386.96</v>
      </c>
    </row>
    <row r="35" spans="2:24" ht="18.75" customHeight="1" x14ac:dyDescent="0.2">
      <c r="B35" s="83" t="s">
        <v>10</v>
      </c>
      <c r="C35" s="392">
        <f>'O&amp;M'!K12</f>
        <v>475.73</v>
      </c>
      <c r="D35" s="392">
        <f>'Dep''n 23-27'!F11</f>
        <v>247.98</v>
      </c>
      <c r="E35" s="392">
        <f>'Int. on Loan 24-26'!D10</f>
        <v>386.87</v>
      </c>
      <c r="F35" s="392">
        <f ca="1">'IoWC 23-24'!D11</f>
        <v>83.26</v>
      </c>
      <c r="G35" s="392">
        <f>'ROE '!D11</f>
        <v>468.58</v>
      </c>
      <c r="H35" s="392">
        <f>'F8-NTI'!C10</f>
        <v>15.79</v>
      </c>
      <c r="I35" s="392">
        <f t="shared" ca="1" si="8"/>
        <v>1646.6299999999999</v>
      </c>
      <c r="K35" s="393">
        <v>7</v>
      </c>
      <c r="L35" s="394" t="s">
        <v>10</v>
      </c>
      <c r="M35" s="395">
        <v>280.08999999999997</v>
      </c>
      <c r="N35" s="395">
        <v>200.86</v>
      </c>
      <c r="O35" s="395">
        <v>518.27</v>
      </c>
      <c r="P35" s="395">
        <v>372.99</v>
      </c>
      <c r="Q35" s="395">
        <v>72.39</v>
      </c>
      <c r="R35" s="419">
        <v>12.09</v>
      </c>
      <c r="S35" s="420">
        <f t="shared" si="9"/>
        <v>1432.5100000000002</v>
      </c>
      <c r="X35" s="126">
        <f t="shared" ca="1" si="10"/>
        <v>823.31499999999994</v>
      </c>
    </row>
    <row r="36" spans="2:24" s="423" customFormat="1" ht="18.75" customHeight="1" x14ac:dyDescent="0.2">
      <c r="B36" s="421" t="s">
        <v>41</v>
      </c>
      <c r="C36" s="422">
        <f>'O&amp;M'!K13</f>
        <v>199.36</v>
      </c>
      <c r="D36" s="422">
        <f>'Dep''n 23-27'!F12</f>
        <v>59.08</v>
      </c>
      <c r="E36" s="422">
        <f>'Int. on Loan 24-26'!D11</f>
        <v>1.45</v>
      </c>
      <c r="F36" s="422">
        <f ca="1">'IoWC 23-24'!D12</f>
        <v>8.66</v>
      </c>
      <c r="G36" s="422">
        <f>'ROE '!D12</f>
        <v>127.36</v>
      </c>
      <c r="H36" s="422">
        <f>'F8-NTI'!C11</f>
        <v>1.69</v>
      </c>
      <c r="I36" s="422">
        <f ca="1">SUM(C36:G36)-H36</f>
        <v>394.22</v>
      </c>
      <c r="K36" s="424">
        <v>8</v>
      </c>
      <c r="L36" s="425" t="s">
        <v>11</v>
      </c>
      <c r="M36" s="426">
        <v>87.97</v>
      </c>
      <c r="N36" s="426">
        <v>124.54</v>
      </c>
      <c r="O36" s="426">
        <v>97.82</v>
      </c>
      <c r="P36" s="426">
        <v>0</v>
      </c>
      <c r="Q36" s="426">
        <v>7.03</v>
      </c>
      <c r="R36" s="427">
        <v>1.04</v>
      </c>
      <c r="S36" s="428">
        <f t="shared" si="9"/>
        <v>316.31999999999994</v>
      </c>
      <c r="X36" s="429">
        <f t="shared" ca="1" si="10"/>
        <v>197.11</v>
      </c>
    </row>
    <row r="37" spans="2:24" ht="18.75" customHeight="1" x14ac:dyDescent="0.2">
      <c r="B37" s="83" t="s">
        <v>42</v>
      </c>
      <c r="C37" s="392">
        <f>'O&amp;M'!K14</f>
        <v>201.5</v>
      </c>
      <c r="D37" s="392">
        <f>'Dep''n 23-27'!F13</f>
        <v>59.13</v>
      </c>
      <c r="E37" s="392">
        <f>'Int. on Loan 24-26'!D12</f>
        <v>36.08</v>
      </c>
      <c r="F37" s="392">
        <f ca="1">'IoWC 23-24'!D13</f>
        <v>11.85</v>
      </c>
      <c r="G37" s="392">
        <f>'ROE '!D13</f>
        <v>224.75</v>
      </c>
      <c r="H37" s="392">
        <f>'F8-NTI'!C12</f>
        <v>7.7</v>
      </c>
      <c r="I37" s="392">
        <f t="shared" ca="1" si="8"/>
        <v>525.6099999999999</v>
      </c>
      <c r="K37" s="393">
        <v>9</v>
      </c>
      <c r="L37" s="394" t="s">
        <v>12</v>
      </c>
      <c r="M37" s="395">
        <v>86.43</v>
      </c>
      <c r="N37" s="395">
        <v>106.14</v>
      </c>
      <c r="O37" s="395">
        <v>171.02</v>
      </c>
      <c r="P37" s="395">
        <v>15.88</v>
      </c>
      <c r="Q37" s="395">
        <v>9.25</v>
      </c>
      <c r="R37" s="419">
        <v>2.92</v>
      </c>
      <c r="S37" s="420">
        <f t="shared" si="9"/>
        <v>385.8</v>
      </c>
      <c r="X37" s="126">
        <f t="shared" ca="1" si="10"/>
        <v>262.80499999999995</v>
      </c>
    </row>
    <row r="38" spans="2:24" ht="18.75" customHeight="1" x14ac:dyDescent="0.2">
      <c r="B38" s="83" t="s">
        <v>13</v>
      </c>
      <c r="C38" s="392">
        <f>'O&amp;M'!K15</f>
        <v>61.58</v>
      </c>
      <c r="D38" s="392">
        <f>'Dep''n 23-27'!F14</f>
        <v>1.04</v>
      </c>
      <c r="E38" s="392">
        <f>'Int. on Loan 24-26'!D13</f>
        <v>0</v>
      </c>
      <c r="F38" s="392">
        <f ca="1">'IoWC 23-24'!D14</f>
        <v>1.56</v>
      </c>
      <c r="G38" s="392">
        <f>'ROE '!D14</f>
        <v>8.07</v>
      </c>
      <c r="H38" s="392">
        <f>'F8-NTI'!C13</f>
        <v>0.54</v>
      </c>
      <c r="I38" s="392">
        <f t="shared" ca="1" si="8"/>
        <v>71.709999999999994</v>
      </c>
      <c r="K38" s="393">
        <v>10</v>
      </c>
      <c r="L38" s="394" t="s">
        <v>13</v>
      </c>
      <c r="M38" s="395">
        <v>1.2</v>
      </c>
      <c r="N38" s="395">
        <v>44.62</v>
      </c>
      <c r="O38" s="395">
        <v>6.03</v>
      </c>
      <c r="P38" s="395">
        <v>0</v>
      </c>
      <c r="Q38" s="395">
        <v>1.1599999999999999</v>
      </c>
      <c r="R38" s="419">
        <v>0.27</v>
      </c>
      <c r="S38" s="420">
        <f t="shared" si="9"/>
        <v>52.739999999999995</v>
      </c>
      <c r="X38" s="126">
        <f t="shared" ca="1" si="10"/>
        <v>35.854999999999997</v>
      </c>
    </row>
    <row r="39" spans="2:24" ht="18.75" customHeight="1" x14ac:dyDescent="0.2">
      <c r="B39" s="83" t="s">
        <v>14</v>
      </c>
      <c r="C39" s="392">
        <f>'O&amp;M'!K16</f>
        <v>9.2899999999999991</v>
      </c>
      <c r="D39" s="392">
        <f>'Dep''n 23-27'!F15</f>
        <v>0.34</v>
      </c>
      <c r="E39" s="392">
        <f>'Int. on Loan 24-26'!D14</f>
        <v>0.02</v>
      </c>
      <c r="F39" s="392">
        <f ca="1">'IoWC 23-24'!D15</f>
        <v>0.26</v>
      </c>
      <c r="G39" s="392">
        <f>'ROE '!D15</f>
        <v>1.94</v>
      </c>
      <c r="H39" s="392">
        <f>'F8-NTI'!C14</f>
        <v>0.1</v>
      </c>
      <c r="I39" s="392">
        <f t="shared" ca="1" si="8"/>
        <v>11.749999999999998</v>
      </c>
      <c r="K39" s="393">
        <v>11</v>
      </c>
      <c r="L39" s="394" t="s">
        <v>14</v>
      </c>
      <c r="M39" s="395">
        <v>0.9</v>
      </c>
      <c r="N39" s="395">
        <v>7.69</v>
      </c>
      <c r="O39" s="395">
        <v>2.0699999999999998</v>
      </c>
      <c r="P39" s="395">
        <v>0</v>
      </c>
      <c r="Q39" s="395">
        <v>0.23</v>
      </c>
      <c r="R39" s="419">
        <v>0.1</v>
      </c>
      <c r="S39" s="420">
        <f t="shared" si="9"/>
        <v>10.790000000000001</v>
      </c>
      <c r="X39" s="126">
        <f t="shared" ca="1" si="10"/>
        <v>5.8749999999999991</v>
      </c>
    </row>
    <row r="40" spans="2:24" ht="18.75" customHeight="1" x14ac:dyDescent="0.2">
      <c r="B40" s="83" t="s">
        <v>15</v>
      </c>
      <c r="C40" s="392">
        <f>'O&amp;M'!K17</f>
        <v>9.1199999999999992</v>
      </c>
      <c r="D40" s="392">
        <f>'Dep''n 23-27'!F16</f>
        <v>0.57999999999999996</v>
      </c>
      <c r="E40" s="392">
        <f>'Int. on Loan 24-26'!D15</f>
        <v>0.83</v>
      </c>
      <c r="F40" s="392">
        <f ca="1">'IoWC 23-24'!D16</f>
        <v>0.27</v>
      </c>
      <c r="G40" s="392">
        <f>'ROE '!D16</f>
        <v>1.97</v>
      </c>
      <c r="H40" s="392">
        <f>'F8-NTI'!C15</f>
        <v>0.09</v>
      </c>
      <c r="I40" s="392">
        <f t="shared" ca="1" si="8"/>
        <v>12.68</v>
      </c>
      <c r="K40" s="393">
        <v>12</v>
      </c>
      <c r="L40" s="394" t="s">
        <v>15</v>
      </c>
      <c r="M40" s="395">
        <v>0.57999999999999996</v>
      </c>
      <c r="N40" s="395">
        <v>7.39</v>
      </c>
      <c r="O40" s="395">
        <v>1.47</v>
      </c>
      <c r="P40" s="395">
        <v>0.57999999999999996</v>
      </c>
      <c r="Q40" s="395">
        <v>0.22</v>
      </c>
      <c r="R40" s="419">
        <v>0.04</v>
      </c>
      <c r="S40" s="420">
        <f t="shared" si="9"/>
        <v>10.200000000000001</v>
      </c>
      <c r="X40" s="126">
        <f t="shared" ca="1" si="10"/>
        <v>6.34</v>
      </c>
    </row>
    <row r="41" spans="2:24" ht="18.75" customHeight="1" x14ac:dyDescent="0.2">
      <c r="B41" s="83" t="s">
        <v>43</v>
      </c>
      <c r="C41" s="392">
        <f>'O&amp;M'!K18</f>
        <v>62.86</v>
      </c>
      <c r="D41" s="392">
        <f>'Dep''n 23-27'!F17</f>
        <v>11.14</v>
      </c>
      <c r="E41" s="392">
        <f>'Int. on Loan 24-26'!D16</f>
        <v>14.48</v>
      </c>
      <c r="F41" s="392">
        <f ca="1">'IoWC 23-24'!D17</f>
        <v>2.93</v>
      </c>
      <c r="G41" s="392">
        <f>'ROE '!D17</f>
        <v>43.03</v>
      </c>
      <c r="H41" s="392">
        <f>'F8-NTI'!C16</f>
        <v>1.32</v>
      </c>
      <c r="I41" s="392">
        <f t="shared" ca="1" si="8"/>
        <v>133.12</v>
      </c>
      <c r="K41" s="393">
        <v>13</v>
      </c>
      <c r="L41" s="394" t="s">
        <v>16</v>
      </c>
      <c r="M41" s="395">
        <v>14.08</v>
      </c>
      <c r="N41" s="395">
        <v>35.46</v>
      </c>
      <c r="O41" s="395">
        <v>32.119999999999997</v>
      </c>
      <c r="P41" s="395">
        <v>8.69</v>
      </c>
      <c r="Q41" s="395">
        <v>2.15</v>
      </c>
      <c r="R41" s="419">
        <v>0.3</v>
      </c>
      <c r="S41" s="420">
        <f t="shared" si="9"/>
        <v>92.2</v>
      </c>
      <c r="X41" s="126">
        <f t="shared" ca="1" si="10"/>
        <v>66.56</v>
      </c>
    </row>
    <row r="42" spans="2:24" ht="18.75" customHeight="1" x14ac:dyDescent="0.2">
      <c r="B42" s="83" t="s">
        <v>44</v>
      </c>
      <c r="C42" s="392">
        <f>'O&amp;M'!K19</f>
        <v>63.38</v>
      </c>
      <c r="D42" s="392">
        <f>'Dep''n 23-27'!F18</f>
        <v>27.14</v>
      </c>
      <c r="E42" s="392">
        <f>'Int. on Loan 24-26'!D17</f>
        <v>50.93</v>
      </c>
      <c r="F42" s="392">
        <f ca="1">'IoWC 23-24'!D18</f>
        <v>5.37</v>
      </c>
      <c r="G42" s="392">
        <f>'ROE '!D18</f>
        <v>102.08</v>
      </c>
      <c r="H42" s="392">
        <f>'F8-NTI'!C17</f>
        <v>0.33</v>
      </c>
      <c r="I42" s="392">
        <f t="shared" ca="1" si="8"/>
        <v>248.57000000000002</v>
      </c>
      <c r="K42" s="393">
        <v>14</v>
      </c>
      <c r="L42" s="394" t="s">
        <v>17</v>
      </c>
      <c r="M42" s="395">
        <v>51.47</v>
      </c>
      <c r="N42" s="395">
        <v>35.61</v>
      </c>
      <c r="O42" s="395">
        <v>81.97</v>
      </c>
      <c r="P42" s="395">
        <v>42.03</v>
      </c>
      <c r="Q42" s="395">
        <v>4.68</v>
      </c>
      <c r="R42" s="419">
        <v>0.18</v>
      </c>
      <c r="S42" s="420">
        <f t="shared" si="9"/>
        <v>215.58</v>
      </c>
      <c r="X42" s="126">
        <f t="shared" ca="1" si="10"/>
        <v>124.28500000000001</v>
      </c>
    </row>
    <row r="43" spans="2:24" ht="18.75" customHeight="1" x14ac:dyDescent="0.2">
      <c r="B43" s="83" t="s">
        <v>45</v>
      </c>
      <c r="C43" s="392">
        <f>'O&amp;M'!K20</f>
        <v>46.09</v>
      </c>
      <c r="D43" s="392">
        <f>'Dep''n 23-27'!F19</f>
        <v>9.14</v>
      </c>
      <c r="E43" s="392">
        <f>'Int. on Loan 24-26'!D18</f>
        <v>22.07</v>
      </c>
      <c r="F43" s="392">
        <f ca="1">'IoWC 23-24'!D19</f>
        <v>2.2200000000000002</v>
      </c>
      <c r="G43" s="392">
        <f>'ROE '!D19</f>
        <v>29.16</v>
      </c>
      <c r="H43" s="392">
        <f>'F8-NTI'!C18</f>
        <v>0.26</v>
      </c>
      <c r="I43" s="392">
        <f t="shared" ca="1" si="8"/>
        <v>108.42</v>
      </c>
      <c r="K43" s="393">
        <v>15</v>
      </c>
      <c r="L43" s="394" t="s">
        <v>18</v>
      </c>
      <c r="M43" s="395">
        <v>10.220000000000001</v>
      </c>
      <c r="N43" s="395">
        <v>40.79</v>
      </c>
      <c r="O43" s="395">
        <v>22.74</v>
      </c>
      <c r="P43" s="395">
        <v>18.45</v>
      </c>
      <c r="Q43" s="395">
        <v>1.99</v>
      </c>
      <c r="R43" s="419">
        <v>0.52</v>
      </c>
      <c r="S43" s="420">
        <f t="shared" si="9"/>
        <v>93.67</v>
      </c>
      <c r="X43" s="126">
        <f t="shared" ca="1" si="10"/>
        <v>54.21</v>
      </c>
    </row>
    <row r="44" spans="2:24" ht="18.75" customHeight="1" x14ac:dyDescent="0.25">
      <c r="B44" s="79" t="s">
        <v>19</v>
      </c>
      <c r="C44" s="441">
        <f t="shared" ref="C44:I44" si="11">SUM(C30:C43)</f>
        <v>2836.4100000000003</v>
      </c>
      <c r="D44" s="441">
        <f>SUM(D30:D43)</f>
        <v>774.78</v>
      </c>
      <c r="E44" s="441">
        <f>SUM(E30:E43)</f>
        <v>821.10000000000014</v>
      </c>
      <c r="F44" s="441">
        <f ca="1">SUM(F30:F43)</f>
        <v>322.81000000000006</v>
      </c>
      <c r="G44" s="441">
        <f t="shared" si="11"/>
        <v>2013.26</v>
      </c>
      <c r="H44" s="407">
        <f t="shared" si="11"/>
        <v>82.35</v>
      </c>
      <c r="I44" s="407">
        <f t="shared" ca="1" si="11"/>
        <v>6686.01</v>
      </c>
      <c r="K44" s="393"/>
      <c r="L44" s="394"/>
      <c r="M44" s="410">
        <f t="shared" ref="M44:R44" si="12">SUM(M30:M43)</f>
        <v>982.48000000000013</v>
      </c>
      <c r="N44" s="410">
        <f t="shared" si="12"/>
        <v>1957.78</v>
      </c>
      <c r="O44" s="410">
        <f t="shared" si="12"/>
        <v>1951.2099999999998</v>
      </c>
      <c r="P44" s="410">
        <f t="shared" si="12"/>
        <v>765.81000000000017</v>
      </c>
      <c r="Q44" s="410">
        <f t="shared" si="12"/>
        <v>299.38</v>
      </c>
      <c r="R44" s="410">
        <f t="shared" si="12"/>
        <v>113.65</v>
      </c>
      <c r="S44" s="430">
        <f t="shared" si="9"/>
        <v>5843.0100000000011</v>
      </c>
      <c r="X44" s="126">
        <f ca="1">SUM(X30:X43)</f>
        <v>3343.0050000000001</v>
      </c>
    </row>
    <row r="45" spans="2:24" ht="18.75" customHeight="1" x14ac:dyDescent="0.25">
      <c r="B45" s="79" t="s">
        <v>73</v>
      </c>
      <c r="C45" s="407"/>
      <c r="D45" s="407"/>
      <c r="E45" s="407"/>
      <c r="F45" s="407"/>
      <c r="G45" s="407"/>
      <c r="H45" s="407"/>
      <c r="I45" s="407"/>
      <c r="K45" s="83"/>
      <c r="M45" s="83"/>
      <c r="N45" s="397"/>
      <c r="O45" s="397"/>
      <c r="P45" s="397"/>
      <c r="Q45" s="397"/>
      <c r="R45" s="397"/>
      <c r="S45" s="397"/>
      <c r="X45" s="126"/>
    </row>
    <row r="46" spans="2:24" ht="18.75" customHeight="1" x14ac:dyDescent="0.2">
      <c r="B46" s="83" t="s">
        <v>74</v>
      </c>
      <c r="C46" s="392"/>
      <c r="D46" s="392"/>
      <c r="E46" s="392"/>
      <c r="F46" s="392"/>
      <c r="G46" s="392"/>
      <c r="H46" s="392"/>
      <c r="I46" s="392">
        <v>1790.09</v>
      </c>
      <c r="K46" s="83"/>
      <c r="L46" s="397" t="s">
        <v>204</v>
      </c>
      <c r="M46" s="83"/>
      <c r="N46" s="397"/>
      <c r="O46" s="397"/>
      <c r="P46" s="397"/>
      <c r="Q46" s="397"/>
      <c r="R46" s="397"/>
      <c r="S46" s="431">
        <f>I46</f>
        <v>1790.09</v>
      </c>
      <c r="X46" s="126">
        <f>I46/2</f>
        <v>895.04499999999996</v>
      </c>
    </row>
    <row r="47" spans="2:24" ht="18.75" customHeight="1" x14ac:dyDescent="0.2">
      <c r="B47" s="83" t="s">
        <v>75</v>
      </c>
      <c r="C47" s="392"/>
      <c r="D47" s="392"/>
      <c r="E47" s="392"/>
      <c r="F47" s="392"/>
      <c r="G47" s="392"/>
      <c r="H47" s="392"/>
      <c r="I47" s="392">
        <f>'F8-NTI'!H19</f>
        <v>52.433899999999994</v>
      </c>
      <c r="K47" s="83"/>
      <c r="L47" s="397" t="s">
        <v>176</v>
      </c>
      <c r="M47" s="83"/>
      <c r="N47" s="397"/>
      <c r="O47" s="397"/>
      <c r="P47" s="397"/>
      <c r="Q47" s="397"/>
      <c r="R47" s="397"/>
      <c r="S47" s="397"/>
      <c r="X47" s="126">
        <v>31.87</v>
      </c>
    </row>
    <row r="48" spans="2:24" ht="18.75" customHeight="1" x14ac:dyDescent="0.25">
      <c r="B48" s="79" t="s">
        <v>19</v>
      </c>
      <c r="C48" s="441">
        <f t="shared" ref="C48:H48" si="13">C44+SUM(C46:C47)</f>
        <v>2836.4100000000003</v>
      </c>
      <c r="D48" s="441">
        <f>D44+SUM(D46:D47)</f>
        <v>774.78</v>
      </c>
      <c r="E48" s="441">
        <f>E44+SUM(E46:E47)</f>
        <v>821.10000000000014</v>
      </c>
      <c r="F48" s="441">
        <f ca="1">F44+SUM(F46:F47)</f>
        <v>322.81000000000006</v>
      </c>
      <c r="G48" s="441">
        <f t="shared" si="13"/>
        <v>2013.26</v>
      </c>
      <c r="H48" s="407">
        <f t="shared" si="13"/>
        <v>82.35</v>
      </c>
      <c r="I48" s="407">
        <f ca="1">I44+I45+I46+I47</f>
        <v>8528.5339000000004</v>
      </c>
      <c r="K48" s="83"/>
      <c r="L48" s="397" t="s">
        <v>195</v>
      </c>
      <c r="M48" s="83">
        <f>SUM(M44:M47)</f>
        <v>982.48000000000013</v>
      </c>
      <c r="N48" s="83">
        <f t="shared" ref="N48:S48" si="14">SUM(N44:N47)</f>
        <v>1957.78</v>
      </c>
      <c r="O48" s="83">
        <f t="shared" si="14"/>
        <v>1951.2099999999998</v>
      </c>
      <c r="P48" s="83">
        <f t="shared" si="14"/>
        <v>765.81000000000017</v>
      </c>
      <c r="Q48" s="83">
        <f t="shared" si="14"/>
        <v>299.38</v>
      </c>
      <c r="R48" s="83">
        <f t="shared" si="14"/>
        <v>113.65</v>
      </c>
      <c r="S48" s="83">
        <f t="shared" si="14"/>
        <v>7633.1000000000013</v>
      </c>
      <c r="X48" s="84">
        <f ca="1">X44+X46+X47</f>
        <v>4269.92</v>
      </c>
    </row>
    <row r="49" spans="2:30" ht="18.75" customHeight="1" x14ac:dyDescent="0.2">
      <c r="X49" s="160"/>
    </row>
    <row r="50" spans="2:30" ht="18.75" customHeight="1" x14ac:dyDescent="0.25">
      <c r="B50" s="387"/>
      <c r="C50" s="387"/>
      <c r="D50" s="387"/>
      <c r="E50" s="387"/>
      <c r="F50" s="387"/>
      <c r="G50" s="387"/>
      <c r="H50" s="387"/>
      <c r="I50" s="387"/>
      <c r="X50" s="160"/>
    </row>
    <row r="51" spans="2:30" ht="18.75" customHeight="1" x14ac:dyDescent="0.25">
      <c r="C51" s="387"/>
      <c r="D51" s="387"/>
      <c r="E51" s="387" t="s">
        <v>193</v>
      </c>
      <c r="F51" s="387"/>
      <c r="G51" s="387"/>
      <c r="H51" s="387"/>
      <c r="I51" s="387"/>
      <c r="X51" s="160"/>
    </row>
    <row r="52" spans="2:30" ht="18.75" customHeight="1" x14ac:dyDescent="0.2">
      <c r="B52" s="60" t="s">
        <v>35</v>
      </c>
      <c r="C52" s="60" t="s">
        <v>48</v>
      </c>
      <c r="D52" s="60" t="s">
        <v>126</v>
      </c>
      <c r="E52" s="60" t="s">
        <v>127</v>
      </c>
      <c r="F52" s="60" t="s">
        <v>128</v>
      </c>
      <c r="G52" s="60" t="s">
        <v>51</v>
      </c>
      <c r="H52" s="60" t="s">
        <v>98</v>
      </c>
      <c r="I52" s="60" t="s">
        <v>129</v>
      </c>
      <c r="K52" s="59" t="s">
        <v>1</v>
      </c>
      <c r="L52" s="59" t="s">
        <v>2</v>
      </c>
      <c r="M52" s="83" t="s">
        <v>197</v>
      </c>
      <c r="N52" s="397" t="s">
        <v>199</v>
      </c>
      <c r="O52" s="397" t="s">
        <v>201</v>
      </c>
      <c r="P52" s="432" t="s">
        <v>198</v>
      </c>
      <c r="Q52" s="397" t="s">
        <v>104</v>
      </c>
      <c r="R52" s="433" t="s">
        <v>73</v>
      </c>
      <c r="S52" s="433" t="s">
        <v>202</v>
      </c>
      <c r="X52" s="160"/>
    </row>
    <row r="53" spans="2:30" ht="18.75" customHeight="1" x14ac:dyDescent="0.25">
      <c r="B53" s="83" t="s">
        <v>38</v>
      </c>
      <c r="C53" s="392">
        <f>'O&amp;M'!O6</f>
        <v>312.97000000000003</v>
      </c>
      <c r="D53" s="392">
        <f>'Dep''n 23-27'!G5</f>
        <v>34.56</v>
      </c>
      <c r="E53" s="392">
        <f>'Int. on Loan 24-26'!E4</f>
        <v>0</v>
      </c>
      <c r="F53" s="392">
        <f ca="1">'IoWC 23-24'!E5</f>
        <v>34.49</v>
      </c>
      <c r="G53" s="392">
        <f>'ROE '!E5</f>
        <v>142.36000000000001</v>
      </c>
      <c r="H53" s="392">
        <f>'F8-NTI'!D4</f>
        <v>9.44</v>
      </c>
      <c r="I53" s="407">
        <f t="shared" ref="I53:I66" ca="1" si="15">SUM(C53:G53)-H53</f>
        <v>514.94000000000005</v>
      </c>
      <c r="K53" s="393">
        <v>1</v>
      </c>
      <c r="L53" s="83" t="s">
        <v>4</v>
      </c>
      <c r="M53" s="136">
        <v>1.44</v>
      </c>
      <c r="N53" s="136">
        <v>230.98</v>
      </c>
      <c r="O53" s="136">
        <v>141.46</v>
      </c>
      <c r="P53" s="136">
        <v>0.24</v>
      </c>
      <c r="Q53" s="136">
        <v>34.71</v>
      </c>
      <c r="R53" s="136">
        <v>16.46</v>
      </c>
      <c r="S53" s="420">
        <f>SUM(M53:Q53)-R53</f>
        <v>392.37</v>
      </c>
      <c r="X53" s="434"/>
      <c r="Y53" s="434"/>
      <c r="Z53" s="434"/>
      <c r="AA53" s="434"/>
      <c r="AB53" s="434"/>
      <c r="AC53" s="434"/>
      <c r="AD53" s="434"/>
    </row>
    <row r="54" spans="2:30" ht="18.75" customHeight="1" x14ac:dyDescent="0.25">
      <c r="B54" s="83" t="s">
        <v>39</v>
      </c>
      <c r="C54" s="392">
        <f>'O&amp;M'!O7</f>
        <v>312.97000000000003</v>
      </c>
      <c r="D54" s="392">
        <f>'Dep''n 23-27'!G6</f>
        <v>23.86</v>
      </c>
      <c r="E54" s="392">
        <f>'Int. on Loan 24-26'!E5</f>
        <v>0</v>
      </c>
      <c r="F54" s="392">
        <f ca="1">'IoWC 23-24'!E6</f>
        <v>36.5</v>
      </c>
      <c r="G54" s="392">
        <f>'ROE '!E6</f>
        <v>154.54</v>
      </c>
      <c r="H54" s="392">
        <f>'F8-NTI'!D5</f>
        <v>9.44</v>
      </c>
      <c r="I54" s="407">
        <f t="shared" ca="1" si="15"/>
        <v>518.42999999999995</v>
      </c>
      <c r="K54" s="393">
        <v>2</v>
      </c>
      <c r="L54" s="83" t="s">
        <v>5</v>
      </c>
      <c r="M54" s="136">
        <v>45.25</v>
      </c>
      <c r="N54" s="136">
        <v>230.86</v>
      </c>
      <c r="O54" s="136">
        <v>153.68</v>
      </c>
      <c r="P54" s="136">
        <v>0</v>
      </c>
      <c r="Q54" s="136">
        <v>33.96</v>
      </c>
      <c r="R54" s="136">
        <v>9.23</v>
      </c>
      <c r="S54" s="420">
        <f t="shared" ref="S54:S67" si="16">SUM(M54:Q54)-R54</f>
        <v>454.52</v>
      </c>
      <c r="X54" s="434"/>
      <c r="Y54" s="434"/>
      <c r="Z54" s="434"/>
      <c r="AA54" s="434"/>
      <c r="AB54" s="434"/>
      <c r="AC54" s="434"/>
      <c r="AD54" s="434"/>
    </row>
    <row r="55" spans="2:30" ht="18.75" customHeight="1" x14ac:dyDescent="0.25">
      <c r="B55" s="83" t="s">
        <v>40</v>
      </c>
      <c r="C55" s="392">
        <f>'O&amp;M'!O8</f>
        <v>588.66999999999996</v>
      </c>
      <c r="D55" s="392">
        <f>'Dep''n 23-27'!G7</f>
        <v>174.95</v>
      </c>
      <c r="E55" s="392">
        <f>'Int. on Loan 24-26'!E6</f>
        <v>188.83</v>
      </c>
      <c r="F55" s="392">
        <f ca="1">'IoWC 23-24'!E7</f>
        <v>62.19</v>
      </c>
      <c r="G55" s="392">
        <f>'ROE '!E7</f>
        <v>317.77999999999997</v>
      </c>
      <c r="H55" s="392">
        <f>'F8-NTI'!D6</f>
        <v>14.25</v>
      </c>
      <c r="I55" s="407">
        <f t="shared" ca="1" si="15"/>
        <v>1318.1699999999998</v>
      </c>
      <c r="K55" s="393">
        <v>3</v>
      </c>
      <c r="L55" s="83" t="s">
        <v>6</v>
      </c>
      <c r="M55" s="136">
        <v>186.42</v>
      </c>
      <c r="N55" s="136">
        <v>539.87</v>
      </c>
      <c r="O55" s="136">
        <v>328.62</v>
      </c>
      <c r="P55" s="136">
        <v>203.81</v>
      </c>
      <c r="Q55" s="136">
        <v>63.13</v>
      </c>
      <c r="R55" s="136">
        <v>11.72</v>
      </c>
      <c r="S55" s="420">
        <f t="shared" si="16"/>
        <v>1310.1299999999999</v>
      </c>
      <c r="X55" s="434"/>
      <c r="Y55" s="434"/>
      <c r="Z55" s="434"/>
      <c r="AA55" s="434"/>
      <c r="AB55" s="434"/>
      <c r="AC55" s="434"/>
      <c r="AD55" s="434"/>
    </row>
    <row r="56" spans="2:30" ht="18.75" customHeight="1" x14ac:dyDescent="0.25">
      <c r="B56" s="83" t="s">
        <v>36</v>
      </c>
      <c r="C56" s="392">
        <f>'O&amp;M'!O10</f>
        <v>257.5</v>
      </c>
      <c r="D56" s="392">
        <f>'Dep''n 23-27'!G9</f>
        <v>18.309999999999999</v>
      </c>
      <c r="E56" s="392">
        <f>'Int. on Loan 24-26'!E8</f>
        <v>0</v>
      </c>
      <c r="F56" s="392">
        <f ca="1">'IoWC 23-24'!E9</f>
        <v>29.28</v>
      </c>
      <c r="G56" s="392">
        <f>'ROE '!E9</f>
        <v>158.84</v>
      </c>
      <c r="H56" s="392">
        <f>'F8-NTI'!D8</f>
        <v>10.73</v>
      </c>
      <c r="I56" s="407">
        <f t="shared" ca="1" si="15"/>
        <v>453.20000000000005</v>
      </c>
      <c r="K56" s="393">
        <v>5</v>
      </c>
      <c r="L56" s="83" t="s">
        <v>8</v>
      </c>
      <c r="M56" s="136">
        <v>88.68</v>
      </c>
      <c r="N56" s="136">
        <v>201.15</v>
      </c>
      <c r="O56" s="136">
        <v>158.38</v>
      </c>
      <c r="P56" s="136">
        <v>0</v>
      </c>
      <c r="Q56" s="136">
        <v>31.38</v>
      </c>
      <c r="R56" s="136">
        <v>30.29</v>
      </c>
      <c r="S56" s="420">
        <f t="shared" si="16"/>
        <v>449.3</v>
      </c>
      <c r="X56" s="434"/>
      <c r="Y56" s="434"/>
      <c r="Z56" s="434"/>
      <c r="AA56" s="434"/>
      <c r="AB56" s="434"/>
      <c r="AC56" s="434"/>
      <c r="AD56" s="434"/>
    </row>
    <row r="57" spans="2:30" ht="18.75" customHeight="1" x14ac:dyDescent="0.25">
      <c r="B57" s="83" t="s">
        <v>37</v>
      </c>
      <c r="C57" s="392">
        <f>'O&amp;M'!O11</f>
        <v>308.99</v>
      </c>
      <c r="D57" s="392">
        <f>'Dep''n 23-27'!G10</f>
        <v>116.31</v>
      </c>
      <c r="E57" s="392">
        <f>'Int. on Loan 24-26'!E9</f>
        <v>95.21</v>
      </c>
      <c r="F57" s="392">
        <f ca="1">'IoWC 23-24'!E10</f>
        <v>37.46</v>
      </c>
      <c r="G57" s="392">
        <f>'ROE '!E10</f>
        <v>237.1</v>
      </c>
      <c r="H57" s="392">
        <f>'F8-NTI'!D9</f>
        <v>12.87</v>
      </c>
      <c r="I57" s="407">
        <f t="shared" ca="1" si="15"/>
        <v>782.2</v>
      </c>
      <c r="K57" s="393">
        <v>6</v>
      </c>
      <c r="L57" s="83" t="s">
        <v>9</v>
      </c>
      <c r="M57" s="136">
        <v>127.75</v>
      </c>
      <c r="N57" s="136">
        <v>228.47</v>
      </c>
      <c r="O57" s="136">
        <v>235.56</v>
      </c>
      <c r="P57" s="136">
        <v>70.62</v>
      </c>
      <c r="Q57" s="136">
        <v>38.270000000000003</v>
      </c>
      <c r="R57" s="136">
        <v>32.33</v>
      </c>
      <c r="S57" s="420">
        <f t="shared" si="16"/>
        <v>668.33999999999992</v>
      </c>
      <c r="X57" s="434"/>
      <c r="Y57" s="434"/>
      <c r="Z57" s="434"/>
      <c r="AA57" s="434"/>
      <c r="AB57" s="434"/>
      <c r="AC57" s="434"/>
      <c r="AD57" s="434"/>
    </row>
    <row r="58" spans="2:30" ht="18.75" customHeight="1" x14ac:dyDescent="0.25">
      <c r="B58" s="83" t="s">
        <v>10</v>
      </c>
      <c r="C58" s="392">
        <f>'O&amp;M'!O12</f>
        <v>496.8</v>
      </c>
      <c r="D58" s="392">
        <f>'Dep''n 23-27'!G11</f>
        <v>267.02999999999997</v>
      </c>
      <c r="E58" s="392">
        <f>'Int. on Loan 24-26'!E10</f>
        <v>395.72</v>
      </c>
      <c r="F58" s="392">
        <f ca="1">'IoWC 23-24'!E11</f>
        <v>82.97</v>
      </c>
      <c r="G58" s="392">
        <f>'ROE '!E11</f>
        <v>492.62</v>
      </c>
      <c r="H58" s="392">
        <f>'F8-NTI'!D10</f>
        <v>16.43</v>
      </c>
      <c r="I58" s="407">
        <f t="shared" ca="1" si="15"/>
        <v>1718.7099999999998</v>
      </c>
      <c r="K58" s="393">
        <v>7</v>
      </c>
      <c r="L58" s="83" t="s">
        <v>10</v>
      </c>
      <c r="M58" s="136">
        <v>280.08999999999997</v>
      </c>
      <c r="N58" s="136">
        <v>212.3</v>
      </c>
      <c r="O58" s="136">
        <v>518.27</v>
      </c>
      <c r="P58" s="136">
        <v>343.91</v>
      </c>
      <c r="Q58" s="136">
        <v>72.260000000000005</v>
      </c>
      <c r="R58" s="136">
        <v>12.57</v>
      </c>
      <c r="S58" s="420">
        <f t="shared" si="16"/>
        <v>1414.26</v>
      </c>
      <c r="X58" s="434"/>
      <c r="Y58" s="434"/>
      <c r="Z58" s="434"/>
      <c r="AA58" s="434"/>
      <c r="AB58" s="434"/>
      <c r="AC58" s="434"/>
      <c r="AD58" s="434"/>
    </row>
    <row r="59" spans="2:30" ht="18.75" customHeight="1" x14ac:dyDescent="0.25">
      <c r="B59" s="83" t="s">
        <v>41</v>
      </c>
      <c r="C59" s="392">
        <f>'O&amp;M'!O13</f>
        <v>207.74</v>
      </c>
      <c r="D59" s="392">
        <f>'Dep''n 23-27'!G12</f>
        <v>59.07</v>
      </c>
      <c r="E59" s="392">
        <f>'Int. on Loan 24-26'!E11</f>
        <v>0</v>
      </c>
      <c r="F59" s="392">
        <f ca="1">'IoWC 23-24'!E12</f>
        <v>8.82</v>
      </c>
      <c r="G59" s="392">
        <f>'ROE '!E12</f>
        <v>127.36</v>
      </c>
      <c r="H59" s="392">
        <f>'F8-NTI'!D11</f>
        <v>1.76</v>
      </c>
      <c r="I59" s="407">
        <f t="shared" ca="1" si="15"/>
        <v>401.23</v>
      </c>
      <c r="K59" s="393">
        <v>8</v>
      </c>
      <c r="L59" s="83" t="s">
        <v>11</v>
      </c>
      <c r="M59" s="136">
        <v>87.97</v>
      </c>
      <c r="N59" s="136">
        <v>131.58000000000001</v>
      </c>
      <c r="O59" s="136">
        <v>97.82</v>
      </c>
      <c r="P59" s="136">
        <v>0</v>
      </c>
      <c r="Q59" s="136">
        <v>7.18</v>
      </c>
      <c r="R59" s="136">
        <v>1.08</v>
      </c>
      <c r="S59" s="420">
        <f t="shared" si="16"/>
        <v>323.47000000000003</v>
      </c>
      <c r="X59" s="434"/>
      <c r="Y59" s="434"/>
      <c r="Z59" s="434"/>
      <c r="AA59" s="434"/>
      <c r="AB59" s="434"/>
      <c r="AC59" s="434"/>
      <c r="AD59" s="434"/>
    </row>
    <row r="60" spans="2:30" ht="18.75" customHeight="1" x14ac:dyDescent="0.25">
      <c r="B60" s="83" t="s">
        <v>42</v>
      </c>
      <c r="C60" s="392">
        <f>'O&amp;M'!O14</f>
        <v>210.31</v>
      </c>
      <c r="D60" s="392">
        <f>'Dep''n 23-27'!G13</f>
        <v>59.13</v>
      </c>
      <c r="E60" s="392">
        <f>'Int. on Loan 24-26'!E12</f>
        <v>30.08</v>
      </c>
      <c r="F60" s="392">
        <f ca="1">'IoWC 23-24'!E13</f>
        <v>11.96</v>
      </c>
      <c r="G60" s="392">
        <f>'ROE '!E13</f>
        <v>224.75</v>
      </c>
      <c r="H60" s="392">
        <f>'F8-NTI'!D12</f>
        <v>8.01</v>
      </c>
      <c r="I60" s="407">
        <f t="shared" ca="1" si="15"/>
        <v>528.22</v>
      </c>
      <c r="K60" s="393">
        <v>9</v>
      </c>
      <c r="L60" s="83" t="s">
        <v>12</v>
      </c>
      <c r="M60" s="136">
        <v>86.43</v>
      </c>
      <c r="N60" s="136">
        <v>112.12</v>
      </c>
      <c r="O60" s="136">
        <v>171.02</v>
      </c>
      <c r="P60" s="136">
        <v>0</v>
      </c>
      <c r="Q60" s="136">
        <v>9.17</v>
      </c>
      <c r="R60" s="136">
        <v>3.04</v>
      </c>
      <c r="S60" s="420">
        <f>SUM(M60:Q60)-R60</f>
        <v>375.70000000000005</v>
      </c>
      <c r="X60" s="434"/>
      <c r="Y60" s="434"/>
      <c r="Z60" s="434"/>
      <c r="AA60" s="434"/>
      <c r="AB60" s="434"/>
      <c r="AC60" s="434"/>
      <c r="AD60" s="434"/>
    </row>
    <row r="61" spans="2:30" ht="18.75" customHeight="1" x14ac:dyDescent="0.25">
      <c r="B61" s="83" t="s">
        <v>13</v>
      </c>
      <c r="C61" s="392">
        <f>'O&amp;M'!O15</f>
        <v>64.180000000000007</v>
      </c>
      <c r="D61" s="392">
        <f>'Dep''n 23-27'!G14</f>
        <v>1.04</v>
      </c>
      <c r="E61" s="392">
        <f>'Int. on Loan 24-26'!E13</f>
        <v>0</v>
      </c>
      <c r="F61" s="392">
        <f ca="1">'IoWC 23-24'!E14</f>
        <v>1.61</v>
      </c>
      <c r="G61" s="392">
        <f>'ROE '!E14</f>
        <v>8.07</v>
      </c>
      <c r="H61" s="392">
        <f>'F8-NTI'!D13</f>
        <v>0.56000000000000005</v>
      </c>
      <c r="I61" s="407">
        <f t="shared" ca="1" si="15"/>
        <v>74.34</v>
      </c>
      <c r="K61" s="393">
        <v>10</v>
      </c>
      <c r="L61" s="83" t="s">
        <v>13</v>
      </c>
      <c r="M61" s="136">
        <v>1.1399999999999999</v>
      </c>
      <c r="N61" s="136">
        <v>47.18</v>
      </c>
      <c r="O61" s="136">
        <v>6.03</v>
      </c>
      <c r="P61" s="136">
        <v>0</v>
      </c>
      <c r="Q61" s="136">
        <v>1.21</v>
      </c>
      <c r="R61" s="136">
        <v>0.28000000000000003</v>
      </c>
      <c r="S61" s="420">
        <f t="shared" si="16"/>
        <v>55.28</v>
      </c>
      <c r="X61" s="434"/>
      <c r="Y61" s="434"/>
      <c r="Z61" s="434"/>
      <c r="AA61" s="434"/>
      <c r="AB61" s="434"/>
      <c r="AC61" s="434"/>
      <c r="AD61" s="434"/>
    </row>
    <row r="62" spans="2:30" ht="18.75" customHeight="1" x14ac:dyDescent="0.25">
      <c r="B62" s="83" t="s">
        <v>14</v>
      </c>
      <c r="C62" s="392">
        <f>'O&amp;M'!O16</f>
        <v>9.67</v>
      </c>
      <c r="D62" s="392">
        <f>'Dep''n 23-27'!G15</f>
        <v>0.34</v>
      </c>
      <c r="E62" s="392">
        <f>'Int. on Loan 24-26'!E14</f>
        <v>0</v>
      </c>
      <c r="F62" s="392">
        <f ca="1">'IoWC 23-24'!E15</f>
        <v>0.27</v>
      </c>
      <c r="G62" s="392">
        <f>'ROE '!E15</f>
        <v>1.94</v>
      </c>
      <c r="H62" s="392">
        <f>'F8-NTI'!D14</f>
        <v>0.1</v>
      </c>
      <c r="I62" s="407">
        <f t="shared" ca="1" si="15"/>
        <v>12.12</v>
      </c>
      <c r="K62" s="393">
        <v>11</v>
      </c>
      <c r="L62" s="83" t="s">
        <v>14</v>
      </c>
      <c r="M62" s="136">
        <v>0.9</v>
      </c>
      <c r="N62" s="136">
        <v>8.1300000000000008</v>
      </c>
      <c r="O62" s="136">
        <v>2.0699999999999998</v>
      </c>
      <c r="P62" s="136">
        <v>0</v>
      </c>
      <c r="Q62" s="136">
        <v>0.24</v>
      </c>
      <c r="R62" s="136">
        <v>0.1</v>
      </c>
      <c r="S62" s="420">
        <f t="shared" si="16"/>
        <v>11.240000000000002</v>
      </c>
      <c r="X62" s="434"/>
      <c r="Y62" s="434"/>
      <c r="Z62" s="434"/>
      <c r="AA62" s="434"/>
      <c r="AB62" s="434"/>
      <c r="AC62" s="434"/>
      <c r="AD62" s="434"/>
    </row>
    <row r="63" spans="2:30" ht="18.75" customHeight="1" x14ac:dyDescent="0.25">
      <c r="B63" s="83" t="s">
        <v>15</v>
      </c>
      <c r="C63" s="392">
        <f>'O&amp;M'!O17</f>
        <v>9.51</v>
      </c>
      <c r="D63" s="392">
        <f>'Dep''n 23-27'!G16</f>
        <v>0.57999999999999996</v>
      </c>
      <c r="E63" s="392">
        <f>'Int. on Loan 24-26'!E15</f>
        <v>0.78</v>
      </c>
      <c r="F63" s="392">
        <f ca="1">'IoWC 23-24'!E16</f>
        <v>0.28000000000000003</v>
      </c>
      <c r="G63" s="392">
        <f>'ROE '!E16</f>
        <v>1.97</v>
      </c>
      <c r="H63" s="392">
        <f>'F8-NTI'!D15</f>
        <v>0.1</v>
      </c>
      <c r="I63" s="407">
        <f t="shared" ca="1" si="15"/>
        <v>13.02</v>
      </c>
      <c r="K63" s="393">
        <v>12</v>
      </c>
      <c r="L63" s="83" t="s">
        <v>15</v>
      </c>
      <c r="M63" s="136">
        <v>0.57999999999999996</v>
      </c>
      <c r="N63" s="136">
        <v>7.81</v>
      </c>
      <c r="O63" s="136">
        <v>1.47</v>
      </c>
      <c r="P63" s="136">
        <v>0.51</v>
      </c>
      <c r="Q63" s="136">
        <v>0.23</v>
      </c>
      <c r="R63" s="136">
        <v>0.04</v>
      </c>
      <c r="S63" s="420">
        <f t="shared" si="16"/>
        <v>10.56</v>
      </c>
      <c r="X63" s="434"/>
      <c r="Y63" s="434"/>
      <c r="Z63" s="434"/>
      <c r="AA63" s="434"/>
      <c r="AB63" s="434"/>
      <c r="AC63" s="434"/>
      <c r="AD63" s="434"/>
    </row>
    <row r="64" spans="2:30" ht="18.75" customHeight="1" x14ac:dyDescent="0.25">
      <c r="B64" s="83" t="s">
        <v>43</v>
      </c>
      <c r="C64" s="392">
        <f>'O&amp;M'!O18</f>
        <v>65.63</v>
      </c>
      <c r="D64" s="392">
        <f>'Dep''n 23-27'!G17</f>
        <v>11.14</v>
      </c>
      <c r="E64" s="392">
        <f>'Int. on Loan 24-26'!E16</f>
        <v>13.37</v>
      </c>
      <c r="F64" s="392">
        <f ca="1">'IoWC 23-24'!E17</f>
        <v>2.97</v>
      </c>
      <c r="G64" s="392">
        <f>'ROE '!E17</f>
        <v>43.03</v>
      </c>
      <c r="H64" s="392">
        <f>'F8-NTI'!D16</f>
        <v>1.38</v>
      </c>
      <c r="I64" s="407">
        <f t="shared" ca="1" si="15"/>
        <v>134.76</v>
      </c>
      <c r="K64" s="393">
        <v>13</v>
      </c>
      <c r="L64" s="83" t="s">
        <v>16</v>
      </c>
      <c r="M64" s="136">
        <v>11.16</v>
      </c>
      <c r="N64" s="136">
        <v>37.479999999999997</v>
      </c>
      <c r="O64" s="136">
        <v>32.119999999999997</v>
      </c>
      <c r="P64" s="136">
        <v>6.28</v>
      </c>
      <c r="Q64" s="136">
        <v>2.13</v>
      </c>
      <c r="R64" s="136">
        <v>0.31</v>
      </c>
      <c r="S64" s="420">
        <f t="shared" si="16"/>
        <v>88.859999999999985</v>
      </c>
      <c r="X64" s="434"/>
      <c r="Y64" s="434"/>
      <c r="Z64" s="434"/>
      <c r="AA64" s="434"/>
      <c r="AB64" s="434"/>
      <c r="AC64" s="434"/>
      <c r="AD64" s="434"/>
    </row>
    <row r="65" spans="2:30" ht="18.75" customHeight="1" x14ac:dyDescent="0.25">
      <c r="B65" s="83" t="s">
        <v>44</v>
      </c>
      <c r="C65" s="392">
        <f>'O&amp;M'!O19</f>
        <v>66.16</v>
      </c>
      <c r="D65" s="392">
        <f>'Dep''n 23-27'!G18</f>
        <v>27.33</v>
      </c>
      <c r="E65" s="392">
        <f>'Int. on Loan 24-26'!E17</f>
        <v>48.64</v>
      </c>
      <c r="F65" s="392">
        <f ca="1">'IoWC 23-24'!E18</f>
        <v>5.4</v>
      </c>
      <c r="G65" s="392">
        <f>'ROE '!E18</f>
        <v>102.41</v>
      </c>
      <c r="H65" s="392">
        <f>'F8-NTI'!D17</f>
        <v>0.35</v>
      </c>
      <c r="I65" s="407">
        <f t="shared" ca="1" si="15"/>
        <v>249.59</v>
      </c>
      <c r="K65" s="393">
        <v>14</v>
      </c>
      <c r="L65" s="83" t="s">
        <v>17</v>
      </c>
      <c r="M65" s="136">
        <v>51.47</v>
      </c>
      <c r="N65" s="136">
        <v>37.630000000000003</v>
      </c>
      <c r="O65" s="136">
        <v>81.97</v>
      </c>
      <c r="P65" s="136">
        <v>36.79</v>
      </c>
      <c r="Q65" s="136">
        <v>4.66</v>
      </c>
      <c r="R65" s="136">
        <v>0.19</v>
      </c>
      <c r="S65" s="420">
        <f t="shared" si="16"/>
        <v>212.32999999999998</v>
      </c>
      <c r="X65" s="434"/>
      <c r="Y65" s="434"/>
      <c r="Z65" s="434"/>
      <c r="AA65" s="434"/>
      <c r="AB65" s="434"/>
      <c r="AC65" s="434"/>
      <c r="AD65" s="434"/>
    </row>
    <row r="66" spans="2:30" ht="18.75" customHeight="1" x14ac:dyDescent="0.25">
      <c r="B66" s="83" t="s">
        <v>45</v>
      </c>
      <c r="C66" s="392">
        <f>'O&amp;M'!O20</f>
        <v>48.04</v>
      </c>
      <c r="D66" s="392">
        <f>'Dep''n 23-27'!G19</f>
        <v>9.14</v>
      </c>
      <c r="E66" s="392">
        <f>'Int. on Loan 24-26'!E18</f>
        <v>21.11</v>
      </c>
      <c r="F66" s="392">
        <f ca="1">'IoWC 23-24'!E19</f>
        <v>2.2400000000000002</v>
      </c>
      <c r="G66" s="392">
        <f>'ROE '!E19</f>
        <v>29.16</v>
      </c>
      <c r="H66" s="392">
        <f>'F8-NTI'!D18</f>
        <v>0.27</v>
      </c>
      <c r="I66" s="407">
        <f t="shared" ca="1" si="15"/>
        <v>109.41999999999999</v>
      </c>
      <c r="K66" s="393">
        <v>15</v>
      </c>
      <c r="L66" s="83" t="s">
        <v>18</v>
      </c>
      <c r="M66" s="136">
        <v>10.220000000000001</v>
      </c>
      <c r="N66" s="136">
        <v>43.14</v>
      </c>
      <c r="O66" s="136">
        <v>22.74</v>
      </c>
      <c r="P66" s="136">
        <v>16.82</v>
      </c>
      <c r="Q66" s="136">
        <v>2.0099999999999998</v>
      </c>
      <c r="R66" s="136">
        <v>0.54</v>
      </c>
      <c r="S66" s="420">
        <f t="shared" si="16"/>
        <v>94.389999999999986</v>
      </c>
      <c r="X66" s="434"/>
      <c r="Y66" s="434"/>
      <c r="Z66" s="434"/>
      <c r="AA66" s="434"/>
      <c r="AB66" s="434"/>
      <c r="AC66" s="434"/>
      <c r="AD66" s="434"/>
    </row>
    <row r="67" spans="2:30" ht="18.75" customHeight="1" x14ac:dyDescent="0.25">
      <c r="B67" s="79" t="s">
        <v>19</v>
      </c>
      <c r="C67" s="441">
        <f t="shared" ref="C67:I67" si="17">SUM(C53:C66)</f>
        <v>2959.1400000000003</v>
      </c>
      <c r="D67" s="441">
        <f>SUM(D53:D66)</f>
        <v>802.79000000000008</v>
      </c>
      <c r="E67" s="441">
        <f>SUM(E53:E66)</f>
        <v>793.74</v>
      </c>
      <c r="F67" s="441">
        <f ca="1">SUM(F53:F66)</f>
        <v>316.43999999999994</v>
      </c>
      <c r="G67" s="441">
        <f t="shared" si="17"/>
        <v>2041.93</v>
      </c>
      <c r="H67" s="407">
        <f t="shared" si="17"/>
        <v>85.689999999999984</v>
      </c>
      <c r="I67" s="407">
        <f t="shared" ca="1" si="17"/>
        <v>6828.35</v>
      </c>
      <c r="K67" s="435"/>
      <c r="L67" s="436"/>
      <c r="M67" s="436">
        <f t="shared" ref="M67:R67" si="18">SUM(M53:M66)</f>
        <v>979.5</v>
      </c>
      <c r="N67" s="436">
        <f t="shared" si="18"/>
        <v>2068.7000000000003</v>
      </c>
      <c r="O67" s="436">
        <f t="shared" si="18"/>
        <v>1951.2099999999998</v>
      </c>
      <c r="P67" s="436">
        <f t="shared" si="18"/>
        <v>678.98</v>
      </c>
      <c r="Q67" s="436">
        <f t="shared" si="18"/>
        <v>300.54000000000008</v>
      </c>
      <c r="R67" s="436">
        <f t="shared" si="18"/>
        <v>118.18</v>
      </c>
      <c r="S67" s="437">
        <f t="shared" si="16"/>
        <v>5860.7499999999991</v>
      </c>
      <c r="X67" s="434"/>
      <c r="Y67" s="434"/>
      <c r="Z67" s="434"/>
      <c r="AA67" s="434"/>
      <c r="AB67" s="434"/>
      <c r="AC67" s="434"/>
      <c r="AD67" s="434"/>
    </row>
    <row r="68" spans="2:30" ht="18.75" customHeight="1" x14ac:dyDescent="0.25">
      <c r="B68" s="79" t="s">
        <v>73</v>
      </c>
      <c r="C68" s="441"/>
      <c r="D68" s="441"/>
      <c r="E68" s="441"/>
      <c r="F68" s="441"/>
      <c r="G68" s="441"/>
      <c r="H68" s="407"/>
      <c r="I68" s="407">
        <f>H68</f>
        <v>0</v>
      </c>
      <c r="K68" s="83"/>
      <c r="M68" s="438"/>
      <c r="N68" s="439"/>
      <c r="O68" s="397"/>
      <c r="P68" s="397"/>
      <c r="Q68" s="397"/>
      <c r="R68" s="397"/>
      <c r="S68" s="397"/>
      <c r="X68" s="434"/>
      <c r="Y68" s="434"/>
      <c r="Z68" s="434"/>
      <c r="AA68" s="434"/>
      <c r="AB68" s="434"/>
      <c r="AC68" s="434"/>
      <c r="AD68" s="434"/>
    </row>
    <row r="69" spans="2:30" ht="18.75" customHeight="1" x14ac:dyDescent="0.25">
      <c r="B69" s="83" t="s">
        <v>74</v>
      </c>
      <c r="C69" s="442"/>
      <c r="D69" s="442"/>
      <c r="E69" s="442"/>
      <c r="F69" s="442"/>
      <c r="G69" s="442"/>
      <c r="H69" s="392"/>
      <c r="I69" s="407">
        <v>1902.23</v>
      </c>
      <c r="K69" s="83"/>
      <c r="L69" s="397" t="s">
        <v>204</v>
      </c>
      <c r="M69" s="83"/>
      <c r="N69" s="397"/>
      <c r="O69" s="397"/>
      <c r="P69" s="397"/>
      <c r="Q69" s="397"/>
      <c r="R69" s="397"/>
      <c r="S69" s="397"/>
      <c r="X69" s="434"/>
      <c r="Y69" s="434"/>
      <c r="Z69" s="434"/>
      <c r="AA69" s="434"/>
      <c r="AB69" s="434"/>
      <c r="AC69" s="434"/>
      <c r="AD69" s="434"/>
    </row>
    <row r="70" spans="2:30" ht="18.75" customHeight="1" x14ac:dyDescent="0.25">
      <c r="B70" s="83" t="s">
        <v>75</v>
      </c>
      <c r="C70" s="442"/>
      <c r="D70" s="442"/>
      <c r="E70" s="442"/>
      <c r="F70" s="442"/>
      <c r="G70" s="442"/>
      <c r="H70" s="392"/>
      <c r="I70" s="407">
        <v>53.48</v>
      </c>
      <c r="K70" s="83"/>
      <c r="L70" s="397" t="s">
        <v>176</v>
      </c>
      <c r="M70" s="83"/>
      <c r="N70" s="397"/>
      <c r="O70" s="397"/>
      <c r="P70" s="397"/>
      <c r="Q70" s="397"/>
      <c r="R70" s="397"/>
      <c r="S70" s="397"/>
      <c r="X70" s="434"/>
      <c r="Y70" s="434"/>
      <c r="Z70" s="434"/>
      <c r="AA70" s="434"/>
      <c r="AB70" s="434"/>
      <c r="AC70" s="434"/>
      <c r="AD70" s="434"/>
    </row>
    <row r="71" spans="2:30" s="61" customFormat="1" ht="18.75" customHeight="1" x14ac:dyDescent="0.25">
      <c r="B71" s="79" t="s">
        <v>19</v>
      </c>
      <c r="C71" s="441">
        <f t="shared" ref="C71:H71" si="19">C67+SUM(C69:C70)</f>
        <v>2959.1400000000003</v>
      </c>
      <c r="D71" s="441">
        <f>D67+SUM(D69:D70)</f>
        <v>802.79000000000008</v>
      </c>
      <c r="E71" s="441">
        <f>E67+SUM(E69:E70)</f>
        <v>793.74</v>
      </c>
      <c r="F71" s="441">
        <f ca="1">F67+SUM(F69:F70)</f>
        <v>316.43999999999994</v>
      </c>
      <c r="G71" s="441">
        <f t="shared" si="19"/>
        <v>2041.93</v>
      </c>
      <c r="H71" s="407">
        <f t="shared" si="19"/>
        <v>85.689999999999984</v>
      </c>
      <c r="I71" s="407">
        <f ca="1">I67+I68+I69+I70</f>
        <v>8784.06</v>
      </c>
      <c r="K71" s="79"/>
      <c r="L71" s="408" t="s">
        <v>195</v>
      </c>
      <c r="M71" s="79">
        <f>SUM(M66:M70)</f>
        <v>989.72</v>
      </c>
      <c r="N71" s="79">
        <f>SUM(N66:N70)</f>
        <v>2111.84</v>
      </c>
      <c r="O71" s="79">
        <f>SUM(O66:O70)</f>
        <v>1973.9499999999998</v>
      </c>
      <c r="P71" s="79">
        <f t="shared" ref="P71" si="20">SUM(P67:P70)</f>
        <v>678.98</v>
      </c>
      <c r="Q71" s="79">
        <f t="shared" ref="Q71" si="21">SUM(Q67:Q70)</f>
        <v>300.54000000000008</v>
      </c>
      <c r="R71" s="79">
        <f t="shared" ref="R71" si="22">SUM(R67:R70)</f>
        <v>118.18</v>
      </c>
      <c r="S71" s="79">
        <f t="shared" ref="S71" si="23">SUM(S67:S70)</f>
        <v>5860.7499999999991</v>
      </c>
      <c r="X71" s="440"/>
      <c r="Y71" s="440"/>
      <c r="Z71" s="440"/>
      <c r="AA71" s="440"/>
      <c r="AB71" s="440"/>
      <c r="AC71" s="440"/>
      <c r="AD71" s="440"/>
    </row>
    <row r="74" spans="2:30" x14ac:dyDescent="0.2">
      <c r="K74" s="40">
        <v>3.7919999999999998</v>
      </c>
      <c r="L74" s="40">
        <v>5644.0680000000002</v>
      </c>
      <c r="M74" s="40">
        <v>2140.2305855999998</v>
      </c>
      <c r="N74" s="40">
        <v>3450.7927233504297</v>
      </c>
    </row>
    <row r="75" spans="2:30" x14ac:dyDescent="0.2">
      <c r="C75" s="160"/>
      <c r="D75" s="160"/>
      <c r="E75" s="160"/>
      <c r="F75" s="160"/>
      <c r="G75" s="160"/>
      <c r="H75" s="160"/>
      <c r="I75" s="160"/>
      <c r="J75" s="160">
        <f t="shared" ref="J75:X75" si="24">J55-J74</f>
        <v>0</v>
      </c>
      <c r="K75" s="160">
        <f t="shared" si="24"/>
        <v>-0.79199999999999982</v>
      </c>
      <c r="L75" s="160" t="e">
        <f t="shared" si="24"/>
        <v>#VALUE!</v>
      </c>
      <c r="M75" s="160">
        <f t="shared" si="24"/>
        <v>-1953.8105855999997</v>
      </c>
      <c r="N75" s="160">
        <f t="shared" si="24"/>
        <v>-2910.9227233504298</v>
      </c>
      <c r="O75" s="160">
        <f t="shared" si="24"/>
        <v>328.62</v>
      </c>
      <c r="P75" s="160">
        <f t="shared" si="24"/>
        <v>203.81</v>
      </c>
      <c r="Q75" s="160">
        <f t="shared" si="24"/>
        <v>63.13</v>
      </c>
      <c r="R75" s="160">
        <f t="shared" si="24"/>
        <v>11.72</v>
      </c>
      <c r="S75" s="160">
        <f t="shared" si="24"/>
        <v>1310.1299999999999</v>
      </c>
      <c r="T75" s="160">
        <f t="shared" si="24"/>
        <v>0</v>
      </c>
      <c r="U75" s="160"/>
      <c r="V75" s="160"/>
      <c r="W75" s="160"/>
      <c r="X75" s="160">
        <f t="shared" si="24"/>
        <v>0</v>
      </c>
    </row>
  </sheetData>
  <mergeCells count="3">
    <mergeCell ref="B28:I28"/>
    <mergeCell ref="B27:I27"/>
    <mergeCell ref="B3:I3"/>
  </mergeCells>
  <pageMargins left="0.23" right="0.16" top="0.5" bottom="0.74803149606299213" header="0.25" footer="0.31496062992125984"/>
  <pageSetup paperSize="9" scale="11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P22"/>
  <sheetViews>
    <sheetView topLeftCell="A4" workbookViewId="0">
      <selection activeCell="O7" sqref="O7"/>
    </sheetView>
  </sheetViews>
  <sheetFormatPr defaultRowHeight="15" x14ac:dyDescent="0.25"/>
  <cols>
    <col min="1" max="1" width="16.28515625" customWidth="1"/>
    <col min="2" max="2" width="9.85546875" customWidth="1"/>
    <col min="3" max="3" width="9.28515625" bestFit="1" customWidth="1"/>
    <col min="4" max="6" width="10.140625" bestFit="1" customWidth="1"/>
    <col min="7" max="7" width="9.5703125" bestFit="1" customWidth="1"/>
    <col min="8" max="8" width="10.140625" bestFit="1" customWidth="1"/>
    <col min="9" max="12" width="9.28515625" bestFit="1" customWidth="1"/>
    <col min="13" max="13" width="10.140625" customWidth="1"/>
    <col min="14" max="14" width="9.5703125" bestFit="1" customWidth="1"/>
    <col min="15" max="15" width="12.5703125" customWidth="1"/>
  </cols>
  <sheetData>
    <row r="1" spans="1:16" ht="15.75" customHeight="1" x14ac:dyDescent="0.25">
      <c r="A1" s="134" t="s">
        <v>21</v>
      </c>
      <c r="B1" s="134" t="s">
        <v>197</v>
      </c>
      <c r="C1" s="134"/>
      <c r="D1" s="134" t="s">
        <v>199</v>
      </c>
      <c r="E1" s="134"/>
      <c r="F1" s="134" t="s">
        <v>201</v>
      </c>
      <c r="G1" s="134"/>
      <c r="H1" s="134" t="s">
        <v>119</v>
      </c>
      <c r="I1" s="134"/>
      <c r="J1" s="59" t="s">
        <v>62</v>
      </c>
      <c r="K1" s="59"/>
      <c r="L1" s="59" t="s">
        <v>98</v>
      </c>
      <c r="M1" s="59"/>
      <c r="N1" s="134" t="s">
        <v>54</v>
      </c>
      <c r="O1" s="134"/>
    </row>
    <row r="2" spans="1:16" ht="15.75" x14ac:dyDescent="0.25">
      <c r="A2" s="134"/>
      <c r="B2" s="134" t="s">
        <v>206</v>
      </c>
      <c r="C2" s="134" t="s">
        <v>196</v>
      </c>
      <c r="D2" s="134" t="s">
        <v>206</v>
      </c>
      <c r="E2" s="134" t="s">
        <v>196</v>
      </c>
      <c r="F2" s="134" t="s">
        <v>206</v>
      </c>
      <c r="G2" s="134" t="s">
        <v>196</v>
      </c>
      <c r="H2" s="134" t="s">
        <v>206</v>
      </c>
      <c r="I2" s="134" t="s">
        <v>196</v>
      </c>
      <c r="J2" s="134" t="s">
        <v>206</v>
      </c>
      <c r="K2" s="134" t="s">
        <v>196</v>
      </c>
      <c r="L2" s="59" t="s">
        <v>207</v>
      </c>
      <c r="M2" s="59" t="s">
        <v>209</v>
      </c>
      <c r="N2" s="134" t="s">
        <v>206</v>
      </c>
      <c r="O2" s="134" t="s">
        <v>196</v>
      </c>
    </row>
    <row r="3" spans="1:16" ht="15.75" x14ac:dyDescent="0.25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59" t="s">
        <v>208</v>
      </c>
      <c r="M3" s="59" t="s">
        <v>210</v>
      </c>
      <c r="N3" s="134"/>
      <c r="O3" s="134"/>
    </row>
    <row r="4" spans="1:16" ht="15.75" customHeight="1" x14ac:dyDescent="0.25">
      <c r="A4" s="134" t="s">
        <v>211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</row>
    <row r="5" spans="1:16" ht="15.75" x14ac:dyDescent="0.25">
      <c r="A5" s="134" t="s">
        <v>212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</row>
    <row r="6" spans="1:16" ht="15.75" x14ac:dyDescent="0.25">
      <c r="A6" s="135" t="s">
        <v>4</v>
      </c>
      <c r="B6" s="136">
        <v>55.68</v>
      </c>
      <c r="C6" s="136">
        <v>1.44</v>
      </c>
      <c r="D6" s="136">
        <v>299.37</v>
      </c>
      <c r="E6" s="136">
        <v>230.98</v>
      </c>
      <c r="F6" s="136">
        <v>84.27</v>
      </c>
      <c r="G6" s="136">
        <v>141.46</v>
      </c>
      <c r="H6" s="41" t="s">
        <v>66</v>
      </c>
      <c r="I6" s="136">
        <v>0.24</v>
      </c>
      <c r="J6" s="136">
        <v>37.46</v>
      </c>
      <c r="K6" s="136">
        <v>34.71</v>
      </c>
      <c r="L6" s="136">
        <v>16.46</v>
      </c>
      <c r="M6" s="136">
        <v>16.46</v>
      </c>
      <c r="N6" s="137">
        <v>460.32</v>
      </c>
      <c r="O6" s="137">
        <v>392.37</v>
      </c>
      <c r="P6">
        <f>SUM(C6+E6+G6+I6+K6-M6)</f>
        <v>392.37</v>
      </c>
    </row>
    <row r="7" spans="1:16" ht="15.75" x14ac:dyDescent="0.25">
      <c r="A7" s="135" t="s">
        <v>5</v>
      </c>
      <c r="B7" s="136">
        <v>22.5</v>
      </c>
      <c r="C7" s="136">
        <v>45.25</v>
      </c>
      <c r="D7" s="136">
        <v>297.14</v>
      </c>
      <c r="E7" s="136">
        <v>230.86</v>
      </c>
      <c r="F7" s="136">
        <v>153.83000000000001</v>
      </c>
      <c r="G7" s="136">
        <v>153.68</v>
      </c>
      <c r="H7" s="41" t="s">
        <v>66</v>
      </c>
      <c r="I7" s="136">
        <v>0</v>
      </c>
      <c r="J7" s="136">
        <v>36.18</v>
      </c>
      <c r="K7" s="136">
        <v>33.96</v>
      </c>
      <c r="L7" s="136">
        <v>9.23</v>
      </c>
      <c r="M7" s="136">
        <v>9.23</v>
      </c>
      <c r="N7" s="137">
        <v>500.42</v>
      </c>
      <c r="O7" s="137">
        <v>454.53</v>
      </c>
      <c r="P7">
        <f t="shared" ref="P7:P21" si="0">SUM(C7+E7+G7+I7+K7-M7)</f>
        <v>454.52</v>
      </c>
    </row>
    <row r="8" spans="1:16" ht="15.75" x14ac:dyDescent="0.25">
      <c r="A8" s="135" t="s">
        <v>6</v>
      </c>
      <c r="B8" s="136">
        <v>216.73</v>
      </c>
      <c r="C8" s="136">
        <v>186.42</v>
      </c>
      <c r="D8" s="136">
        <v>637.30999999999995</v>
      </c>
      <c r="E8" s="136">
        <v>539.87</v>
      </c>
      <c r="F8" s="136">
        <v>374.67</v>
      </c>
      <c r="G8" s="136">
        <v>328.62</v>
      </c>
      <c r="H8" s="136">
        <v>254.73</v>
      </c>
      <c r="I8" s="136">
        <v>203.81</v>
      </c>
      <c r="J8" s="136">
        <v>69.14</v>
      </c>
      <c r="K8" s="136">
        <v>63.13</v>
      </c>
      <c r="L8" s="136">
        <v>11.72</v>
      </c>
      <c r="M8" s="136">
        <v>11.72</v>
      </c>
      <c r="N8" s="137">
        <v>1540.86</v>
      </c>
      <c r="O8" s="137">
        <v>1310.1300000000001</v>
      </c>
      <c r="P8">
        <f t="shared" si="0"/>
        <v>1310.1299999999999</v>
      </c>
    </row>
    <row r="9" spans="1:16" ht="15.75" x14ac:dyDescent="0.25">
      <c r="A9" s="135" t="s">
        <v>7</v>
      </c>
      <c r="B9" s="41" t="s">
        <v>66</v>
      </c>
      <c r="C9" s="136">
        <v>0</v>
      </c>
      <c r="D9" s="41" t="s">
        <v>66</v>
      </c>
      <c r="E9" s="41" t="s">
        <v>66</v>
      </c>
      <c r="F9" s="41" t="s">
        <v>66</v>
      </c>
      <c r="G9" s="41" t="s">
        <v>66</v>
      </c>
      <c r="H9" s="41" t="s">
        <v>66</v>
      </c>
      <c r="I9" s="136">
        <v>0</v>
      </c>
      <c r="J9" s="41" t="s">
        <v>66</v>
      </c>
      <c r="K9" s="136" t="s">
        <v>66</v>
      </c>
      <c r="L9" s="41" t="s">
        <v>66</v>
      </c>
      <c r="M9" s="41" t="s">
        <v>66</v>
      </c>
      <c r="N9" s="137">
        <v>0</v>
      </c>
      <c r="O9" s="137">
        <v>0</v>
      </c>
    </row>
    <row r="10" spans="1:16" ht="15.75" x14ac:dyDescent="0.25">
      <c r="A10" s="135" t="s">
        <v>8</v>
      </c>
      <c r="B10" s="136">
        <v>18.71</v>
      </c>
      <c r="C10" s="136">
        <v>88.68</v>
      </c>
      <c r="D10" s="136">
        <v>230.41</v>
      </c>
      <c r="E10" s="136">
        <v>201.15</v>
      </c>
      <c r="F10" s="136">
        <v>159.72</v>
      </c>
      <c r="G10" s="136">
        <v>158.38</v>
      </c>
      <c r="H10" s="41" t="s">
        <v>66</v>
      </c>
      <c r="I10" s="136">
        <v>0</v>
      </c>
      <c r="J10" s="136">
        <v>32.35</v>
      </c>
      <c r="K10" s="136">
        <v>31.38</v>
      </c>
      <c r="L10" s="136">
        <v>30.29</v>
      </c>
      <c r="M10" s="136">
        <v>30.29</v>
      </c>
      <c r="N10" s="137">
        <v>410.9</v>
      </c>
      <c r="O10" s="137">
        <v>449.3</v>
      </c>
      <c r="P10">
        <f t="shared" si="0"/>
        <v>449.3</v>
      </c>
    </row>
    <row r="11" spans="1:16" ht="15.75" x14ac:dyDescent="0.25">
      <c r="A11" s="135" t="s">
        <v>9</v>
      </c>
      <c r="B11" s="136">
        <v>113.28</v>
      </c>
      <c r="C11" s="136">
        <v>127.75</v>
      </c>
      <c r="D11" s="136">
        <v>278.33999999999997</v>
      </c>
      <c r="E11" s="136">
        <v>228.47</v>
      </c>
      <c r="F11" s="136">
        <v>235.46</v>
      </c>
      <c r="G11" s="136">
        <v>235.56</v>
      </c>
      <c r="H11" s="136">
        <v>92.54</v>
      </c>
      <c r="I11" s="136">
        <v>70.62</v>
      </c>
      <c r="J11" s="136">
        <v>40.82</v>
      </c>
      <c r="K11" s="136">
        <v>38.270000000000003</v>
      </c>
      <c r="L11" s="136">
        <v>32.33</v>
      </c>
      <c r="M11" s="136">
        <v>32.33</v>
      </c>
      <c r="N11" s="137">
        <v>728.11</v>
      </c>
      <c r="O11" s="137">
        <v>668.34</v>
      </c>
      <c r="P11">
        <f t="shared" si="0"/>
        <v>668.33999999999992</v>
      </c>
    </row>
    <row r="12" spans="1:16" ht="15.75" x14ac:dyDescent="0.25">
      <c r="A12" s="135" t="s">
        <v>10</v>
      </c>
      <c r="B12" s="136">
        <v>347.74</v>
      </c>
      <c r="C12" s="136">
        <v>280.08999999999997</v>
      </c>
      <c r="D12" s="136">
        <v>506.22</v>
      </c>
      <c r="E12" s="136">
        <v>212.3</v>
      </c>
      <c r="F12" s="136">
        <v>619.63</v>
      </c>
      <c r="G12" s="136">
        <v>518.27</v>
      </c>
      <c r="H12" s="136">
        <v>532.95000000000005</v>
      </c>
      <c r="I12" s="136">
        <v>343.91</v>
      </c>
      <c r="J12" s="136">
        <v>86.66</v>
      </c>
      <c r="K12" s="136">
        <v>72.260000000000005</v>
      </c>
      <c r="L12" s="136">
        <v>12.57</v>
      </c>
      <c r="M12" s="136">
        <v>12.57</v>
      </c>
      <c r="N12" s="137">
        <v>2080.63</v>
      </c>
      <c r="O12" s="137">
        <v>1414.26</v>
      </c>
      <c r="P12">
        <f t="shared" si="0"/>
        <v>1414.26</v>
      </c>
    </row>
    <row r="13" spans="1:16" ht="15.75" x14ac:dyDescent="0.25">
      <c r="A13" s="134" t="s">
        <v>213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>
        <f t="shared" si="0"/>
        <v>0</v>
      </c>
    </row>
    <row r="14" spans="1:16" ht="15.75" x14ac:dyDescent="0.25">
      <c r="A14" s="135" t="s">
        <v>214</v>
      </c>
      <c r="B14" s="136">
        <v>72.56</v>
      </c>
      <c r="C14" s="136">
        <v>87.97</v>
      </c>
      <c r="D14" s="136">
        <v>170.98</v>
      </c>
      <c r="E14" s="136">
        <v>131.58000000000001</v>
      </c>
      <c r="F14" s="136">
        <v>135.93</v>
      </c>
      <c r="G14" s="136">
        <v>97.82</v>
      </c>
      <c r="H14" s="136">
        <v>1.34</v>
      </c>
      <c r="I14" s="136">
        <v>0</v>
      </c>
      <c r="J14" s="136">
        <v>8.39</v>
      </c>
      <c r="K14" s="136">
        <v>7.18</v>
      </c>
      <c r="L14" s="136">
        <v>1.08</v>
      </c>
      <c r="M14" s="136">
        <v>1.08</v>
      </c>
      <c r="N14" s="137">
        <v>388.12</v>
      </c>
      <c r="O14" s="137">
        <v>323.47000000000003</v>
      </c>
      <c r="P14">
        <f t="shared" si="0"/>
        <v>323.47000000000003</v>
      </c>
    </row>
    <row r="15" spans="1:16" ht="15.75" x14ac:dyDescent="0.25">
      <c r="A15" s="135" t="s">
        <v>12</v>
      </c>
      <c r="B15" s="136">
        <v>68.319999999999993</v>
      </c>
      <c r="C15" s="136">
        <v>86.43</v>
      </c>
      <c r="D15" s="136">
        <v>163.55000000000001</v>
      </c>
      <c r="E15" s="136">
        <v>112.12</v>
      </c>
      <c r="F15" s="136">
        <v>235.33</v>
      </c>
      <c r="G15" s="136">
        <v>171.02</v>
      </c>
      <c r="H15" s="136">
        <v>42.19</v>
      </c>
      <c r="I15" s="136">
        <v>0</v>
      </c>
      <c r="J15" s="136">
        <v>11.51</v>
      </c>
      <c r="K15" s="136">
        <v>9.17</v>
      </c>
      <c r="L15" s="136">
        <v>3.04</v>
      </c>
      <c r="M15" s="136">
        <v>3.04</v>
      </c>
      <c r="N15" s="137">
        <v>517.86</v>
      </c>
      <c r="O15" s="137">
        <v>375.7</v>
      </c>
      <c r="P15">
        <f t="shared" si="0"/>
        <v>375.70000000000005</v>
      </c>
    </row>
    <row r="16" spans="1:16" ht="15.75" x14ac:dyDescent="0.25">
      <c r="A16" s="135" t="s">
        <v>13</v>
      </c>
      <c r="B16" s="136">
        <v>2.84</v>
      </c>
      <c r="C16" s="136">
        <v>1.1399999999999999</v>
      </c>
      <c r="D16" s="136">
        <v>54.97</v>
      </c>
      <c r="E16" s="136">
        <v>47.18</v>
      </c>
      <c r="F16" s="136">
        <v>9.86</v>
      </c>
      <c r="G16" s="136">
        <v>6.03</v>
      </c>
      <c r="H16" s="136">
        <v>1.07</v>
      </c>
      <c r="I16" s="136">
        <v>0</v>
      </c>
      <c r="J16" s="136">
        <v>1.5</v>
      </c>
      <c r="K16" s="136">
        <v>1.21</v>
      </c>
      <c r="L16" s="136">
        <v>0.28000000000000003</v>
      </c>
      <c r="M16" s="136">
        <v>0.28000000000000003</v>
      </c>
      <c r="N16" s="137">
        <v>69.959999999999994</v>
      </c>
      <c r="O16" s="137">
        <v>55.29</v>
      </c>
      <c r="P16">
        <f t="shared" si="0"/>
        <v>55.28</v>
      </c>
    </row>
    <row r="17" spans="1:16" ht="15.75" x14ac:dyDescent="0.25">
      <c r="A17" s="135" t="s">
        <v>14</v>
      </c>
      <c r="B17" s="136">
        <v>1.56</v>
      </c>
      <c r="C17" s="136">
        <v>0.9</v>
      </c>
      <c r="D17" s="136">
        <v>12.02</v>
      </c>
      <c r="E17" s="136">
        <v>8.1300000000000008</v>
      </c>
      <c r="F17" s="136">
        <v>3.45</v>
      </c>
      <c r="G17" s="136">
        <v>2.0699999999999998</v>
      </c>
      <c r="H17" s="136">
        <v>2.0099999999999998</v>
      </c>
      <c r="I17" s="136">
        <v>0</v>
      </c>
      <c r="J17" s="136">
        <v>0.4</v>
      </c>
      <c r="K17" s="136">
        <v>0.24</v>
      </c>
      <c r="L17" s="136">
        <v>0.1</v>
      </c>
      <c r="M17" s="136">
        <v>0.1</v>
      </c>
      <c r="N17" s="137">
        <v>19.34</v>
      </c>
      <c r="O17" s="137">
        <v>11.24</v>
      </c>
      <c r="P17">
        <f t="shared" si="0"/>
        <v>11.240000000000002</v>
      </c>
    </row>
    <row r="18" spans="1:16" ht="15.75" x14ac:dyDescent="0.25">
      <c r="A18" s="135" t="s">
        <v>215</v>
      </c>
      <c r="B18" s="136">
        <v>1.71</v>
      </c>
      <c r="C18" s="136">
        <v>0.57999999999999996</v>
      </c>
      <c r="D18" s="136">
        <v>8.9</v>
      </c>
      <c r="E18" s="136">
        <v>7.81</v>
      </c>
      <c r="F18" s="136">
        <v>4</v>
      </c>
      <c r="G18" s="136">
        <v>1.47</v>
      </c>
      <c r="H18" s="136">
        <v>2.85</v>
      </c>
      <c r="I18" s="136">
        <v>0.51</v>
      </c>
      <c r="J18" s="136">
        <v>0.36</v>
      </c>
      <c r="K18" s="136">
        <v>0.23</v>
      </c>
      <c r="L18" s="136">
        <v>0.04</v>
      </c>
      <c r="M18" s="136">
        <v>0.04</v>
      </c>
      <c r="N18" s="137">
        <v>17.78</v>
      </c>
      <c r="O18" s="137">
        <v>10.56</v>
      </c>
      <c r="P18">
        <f t="shared" si="0"/>
        <v>10.56</v>
      </c>
    </row>
    <row r="19" spans="1:16" ht="15.75" x14ac:dyDescent="0.25">
      <c r="A19" s="135" t="s">
        <v>16</v>
      </c>
      <c r="B19" s="136">
        <v>11.4</v>
      </c>
      <c r="C19" s="136">
        <v>11.16</v>
      </c>
      <c r="D19" s="136">
        <v>48.49</v>
      </c>
      <c r="E19" s="136">
        <v>37.479999999999997</v>
      </c>
      <c r="F19" s="136">
        <v>43.52</v>
      </c>
      <c r="G19" s="136">
        <v>32.119999999999997</v>
      </c>
      <c r="H19" s="136">
        <v>14.2</v>
      </c>
      <c r="I19" s="136">
        <v>6.28</v>
      </c>
      <c r="J19" s="136">
        <v>2.63</v>
      </c>
      <c r="K19" s="136">
        <v>2.13</v>
      </c>
      <c r="L19" s="136">
        <v>0.31</v>
      </c>
      <c r="M19" s="136">
        <v>0.31</v>
      </c>
      <c r="N19" s="137">
        <v>119.93</v>
      </c>
      <c r="O19" s="137">
        <v>88.85</v>
      </c>
      <c r="P19">
        <f t="shared" si="0"/>
        <v>88.859999999999985</v>
      </c>
    </row>
    <row r="20" spans="1:16" ht="15.75" x14ac:dyDescent="0.25">
      <c r="A20" s="135" t="s">
        <v>17</v>
      </c>
      <c r="B20" s="136">
        <v>27.68</v>
      </c>
      <c r="C20" s="136">
        <v>51.47</v>
      </c>
      <c r="D20" s="136">
        <v>49.13</v>
      </c>
      <c r="E20" s="136">
        <v>37.630000000000003</v>
      </c>
      <c r="F20" s="136">
        <v>103.93</v>
      </c>
      <c r="G20" s="136">
        <v>81.97</v>
      </c>
      <c r="H20" s="136">
        <v>49.17</v>
      </c>
      <c r="I20" s="136">
        <v>36.79</v>
      </c>
      <c r="J20" s="136">
        <v>5.05</v>
      </c>
      <c r="K20" s="136">
        <v>4.66</v>
      </c>
      <c r="L20" s="136">
        <v>0.19</v>
      </c>
      <c r="M20" s="136">
        <v>0.19</v>
      </c>
      <c r="N20" s="137">
        <v>234.77</v>
      </c>
      <c r="O20" s="137">
        <v>212.33</v>
      </c>
      <c r="P20">
        <f t="shared" si="0"/>
        <v>212.32999999999998</v>
      </c>
    </row>
    <row r="21" spans="1:16" ht="15.75" x14ac:dyDescent="0.25">
      <c r="A21" s="135" t="s">
        <v>18</v>
      </c>
      <c r="B21" s="136">
        <v>9.74</v>
      </c>
      <c r="C21" s="136">
        <v>10.220000000000001</v>
      </c>
      <c r="D21" s="136">
        <v>46.55</v>
      </c>
      <c r="E21" s="136">
        <v>43.14</v>
      </c>
      <c r="F21" s="136">
        <v>31.84</v>
      </c>
      <c r="G21" s="136">
        <v>22.74</v>
      </c>
      <c r="H21" s="136">
        <v>22.22</v>
      </c>
      <c r="I21" s="136">
        <v>16.82</v>
      </c>
      <c r="J21" s="136">
        <v>2.29</v>
      </c>
      <c r="K21" s="136">
        <v>2.0099999999999998</v>
      </c>
      <c r="L21" s="136">
        <v>0.54</v>
      </c>
      <c r="M21" s="136">
        <v>0.54</v>
      </c>
      <c r="N21" s="137">
        <v>112.1</v>
      </c>
      <c r="O21" s="137">
        <v>94.39</v>
      </c>
      <c r="P21">
        <f t="shared" si="0"/>
        <v>94.389999999999986</v>
      </c>
    </row>
    <row r="22" spans="1:16" ht="15.75" x14ac:dyDescent="0.25">
      <c r="A22" s="134" t="s">
        <v>19</v>
      </c>
      <c r="B22" s="137">
        <v>970.44</v>
      </c>
      <c r="C22" s="137">
        <v>979.5</v>
      </c>
      <c r="D22" s="138">
        <v>2803.39</v>
      </c>
      <c r="E22" s="138">
        <v>2068.71</v>
      </c>
      <c r="F22" s="138">
        <v>2195.42</v>
      </c>
      <c r="G22" s="137">
        <v>1951.22</v>
      </c>
      <c r="H22" s="138">
        <v>1015.29</v>
      </c>
      <c r="I22" s="137">
        <v>678.96</v>
      </c>
      <c r="J22" s="137">
        <v>334.74</v>
      </c>
      <c r="K22" s="137">
        <v>300.54000000000002</v>
      </c>
      <c r="L22" s="137">
        <v>118.19</v>
      </c>
      <c r="M22" s="137">
        <v>118.18</v>
      </c>
      <c r="N22" s="137">
        <v>7201.1</v>
      </c>
      <c r="O22" s="137">
        <v>5860.75</v>
      </c>
      <c r="P22">
        <f>SUM(P6:P21)</f>
        <v>5860.75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Q21"/>
  <sheetViews>
    <sheetView topLeftCell="A3" workbookViewId="0">
      <selection activeCell="K19" sqref="K19"/>
    </sheetView>
  </sheetViews>
  <sheetFormatPr defaultRowHeight="15" x14ac:dyDescent="0.25"/>
  <cols>
    <col min="2" max="2" width="37.7109375" customWidth="1"/>
    <col min="3" max="3" width="21.140625" customWidth="1"/>
    <col min="4" max="4" width="15" customWidth="1"/>
    <col min="5" max="6" width="12.85546875" customWidth="1"/>
    <col min="7" max="7" width="11.42578125" customWidth="1"/>
    <col min="10" max="10" width="7.28515625" customWidth="1"/>
    <col min="11" max="11" width="13.42578125" customWidth="1"/>
  </cols>
  <sheetData>
    <row r="1" spans="1:17" s="141" customFormat="1" ht="18.75" x14ac:dyDescent="0.3">
      <c r="A1" s="53" t="s">
        <v>230</v>
      </c>
      <c r="G1" s="141" t="s">
        <v>237</v>
      </c>
    </row>
    <row r="2" spans="1:17" s="142" customFormat="1" ht="30" x14ac:dyDescent="0.3">
      <c r="D2" s="143" t="s">
        <v>234</v>
      </c>
      <c r="E2" s="143"/>
      <c r="F2" s="143"/>
      <c r="G2" s="143" t="s">
        <v>235</v>
      </c>
      <c r="H2" s="143"/>
      <c r="J2" s="140"/>
      <c r="K2" s="140" t="s">
        <v>216</v>
      </c>
      <c r="L2" s="140"/>
      <c r="M2" s="140"/>
      <c r="N2" s="140"/>
      <c r="O2" s="140" t="s">
        <v>190</v>
      </c>
      <c r="P2" s="140" t="s">
        <v>217</v>
      </c>
      <c r="Q2" s="140" t="s">
        <v>218</v>
      </c>
    </row>
    <row r="3" spans="1:17" s="142" customFormat="1" ht="17.25" x14ac:dyDescent="0.3">
      <c r="A3" s="143" t="s">
        <v>231</v>
      </c>
      <c r="B3" s="143" t="s">
        <v>232</v>
      </c>
      <c r="C3" s="143" t="s">
        <v>233</v>
      </c>
      <c r="D3" s="143" t="s">
        <v>175</v>
      </c>
      <c r="E3" s="143" t="s">
        <v>190</v>
      </c>
      <c r="F3" s="143" t="s">
        <v>177</v>
      </c>
      <c r="G3" s="143"/>
      <c r="H3" s="143"/>
      <c r="J3" s="257">
        <v>4200</v>
      </c>
      <c r="K3" s="258" t="s">
        <v>219</v>
      </c>
      <c r="L3" s="259"/>
      <c r="M3" s="259">
        <v>550</v>
      </c>
      <c r="N3" s="259" t="s">
        <v>220</v>
      </c>
      <c r="O3" s="259"/>
      <c r="P3" s="259"/>
      <c r="Q3" s="259">
        <v>495</v>
      </c>
    </row>
    <row r="4" spans="1:17" x14ac:dyDescent="0.25">
      <c r="A4" s="4">
        <v>1</v>
      </c>
      <c r="B4" s="4" t="s">
        <v>236</v>
      </c>
      <c r="C4" s="4">
        <v>130</v>
      </c>
      <c r="D4" s="4"/>
      <c r="E4" s="4">
        <v>135.87</v>
      </c>
      <c r="F4" s="4"/>
      <c r="G4" s="4" t="s">
        <v>265</v>
      </c>
      <c r="H4" s="4"/>
      <c r="J4" s="257">
        <v>4210</v>
      </c>
      <c r="K4" s="258" t="s">
        <v>221</v>
      </c>
      <c r="L4" s="259" t="s">
        <v>10</v>
      </c>
      <c r="M4" s="259">
        <v>130</v>
      </c>
      <c r="N4" s="259" t="s">
        <v>220</v>
      </c>
      <c r="O4" s="259"/>
      <c r="P4" s="259"/>
      <c r="Q4" s="259"/>
    </row>
    <row r="5" spans="1:17" x14ac:dyDescent="0.25">
      <c r="A5" s="4"/>
      <c r="B5" s="4" t="s">
        <v>238</v>
      </c>
      <c r="C5" s="4">
        <f>G5</f>
        <v>778.58999999999992</v>
      </c>
      <c r="D5" s="4">
        <v>13.43</v>
      </c>
      <c r="E5" s="4">
        <v>753.26</v>
      </c>
      <c r="F5" s="4">
        <v>11.9</v>
      </c>
      <c r="G5" s="4">
        <f>SUM(D5:F5)</f>
        <v>778.58999999999992</v>
      </c>
      <c r="H5" s="4"/>
      <c r="J5" s="260"/>
      <c r="K5" s="258" t="s">
        <v>221</v>
      </c>
      <c r="L5" s="259" t="s">
        <v>37</v>
      </c>
      <c r="M5" s="259">
        <v>93</v>
      </c>
      <c r="N5" s="259"/>
      <c r="O5" s="259">
        <v>93</v>
      </c>
      <c r="P5" s="259"/>
      <c r="Q5" s="259"/>
    </row>
    <row r="6" spans="1:17" x14ac:dyDescent="0.25">
      <c r="A6" s="4"/>
      <c r="B6" t="s">
        <v>242</v>
      </c>
      <c r="C6">
        <v>25.8</v>
      </c>
      <c r="D6" s="145"/>
      <c r="E6" s="4">
        <v>25.8</v>
      </c>
      <c r="F6" s="4"/>
      <c r="G6" s="4"/>
      <c r="H6" s="4"/>
      <c r="J6" s="260"/>
      <c r="K6" s="258" t="s">
        <v>222</v>
      </c>
      <c r="L6" s="259"/>
      <c r="M6" s="259">
        <v>50.65</v>
      </c>
      <c r="N6" s="259"/>
      <c r="O6" s="259"/>
      <c r="P6" s="259"/>
      <c r="Q6" s="259"/>
    </row>
    <row r="7" spans="1:17" x14ac:dyDescent="0.25">
      <c r="A7" s="4"/>
      <c r="D7" s="146">
        <f>SUM(D4:D6)</f>
        <v>13.43</v>
      </c>
      <c r="E7" s="146">
        <f t="shared" ref="E7:F7" si="0">SUM(E4:E6)</f>
        <v>914.93</v>
      </c>
      <c r="F7" s="146">
        <f t="shared" si="0"/>
        <v>11.9</v>
      </c>
      <c r="G7" s="4"/>
      <c r="H7" s="4"/>
      <c r="J7" s="257">
        <v>4801</v>
      </c>
      <c r="K7" s="261" t="s">
        <v>223</v>
      </c>
      <c r="L7" s="259" t="s">
        <v>6</v>
      </c>
      <c r="M7" s="259"/>
      <c r="N7" s="259"/>
      <c r="O7" s="259">
        <f>49708680/10000000</f>
        <v>4.9708680000000003</v>
      </c>
      <c r="P7" s="259"/>
      <c r="Q7" s="259"/>
    </row>
    <row r="8" spans="1:17" x14ac:dyDescent="0.25">
      <c r="A8" s="4"/>
      <c r="B8" s="4" t="s">
        <v>239</v>
      </c>
      <c r="C8" s="4">
        <v>495</v>
      </c>
      <c r="D8" s="4"/>
      <c r="E8" s="4"/>
      <c r="F8" s="4">
        <v>495</v>
      </c>
      <c r="G8" s="4" t="s">
        <v>264</v>
      </c>
      <c r="H8" s="4"/>
      <c r="J8" s="257">
        <v>4810</v>
      </c>
      <c r="K8" s="261" t="s">
        <v>224</v>
      </c>
      <c r="L8" s="262" t="s">
        <v>10</v>
      </c>
      <c r="M8" s="259"/>
      <c r="N8" s="259"/>
      <c r="O8" s="259"/>
      <c r="P8" s="259"/>
      <c r="Q8" s="259"/>
    </row>
    <row r="9" spans="1:17" x14ac:dyDescent="0.25">
      <c r="A9" s="4"/>
      <c r="B9" s="4" t="s">
        <v>240</v>
      </c>
      <c r="C9" s="4">
        <v>4.97</v>
      </c>
      <c r="D9" s="4"/>
      <c r="E9" s="4">
        <v>4.97</v>
      </c>
      <c r="F9" s="4"/>
      <c r="G9" s="4" t="s">
        <v>269</v>
      </c>
      <c r="H9" s="4"/>
      <c r="J9" s="257"/>
      <c r="K9" s="261" t="s">
        <v>225</v>
      </c>
      <c r="L9" s="262" t="s">
        <v>6</v>
      </c>
      <c r="M9" s="259"/>
      <c r="N9" s="259"/>
      <c r="O9" s="259"/>
      <c r="P9" s="259"/>
      <c r="Q9" s="259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J10" s="257">
        <v>7400</v>
      </c>
      <c r="K10" s="262" t="s">
        <v>226</v>
      </c>
      <c r="L10" s="261" t="s">
        <v>227</v>
      </c>
      <c r="M10" s="259"/>
      <c r="N10" s="259"/>
      <c r="O10" s="259"/>
      <c r="P10" s="259"/>
      <c r="Q10" s="259"/>
    </row>
    <row r="11" spans="1:17" x14ac:dyDescent="0.25">
      <c r="A11" s="4"/>
      <c r="B11" s="4" t="s">
        <v>241</v>
      </c>
      <c r="C11" s="4">
        <v>93</v>
      </c>
      <c r="D11" s="4"/>
      <c r="E11" s="4">
        <v>93</v>
      </c>
      <c r="F11" s="4"/>
      <c r="G11" s="4" t="s">
        <v>270</v>
      </c>
      <c r="H11" s="4"/>
      <c r="J11" s="257">
        <v>7604</v>
      </c>
      <c r="K11" s="261" t="s">
        <v>228</v>
      </c>
      <c r="L11" s="262" t="s">
        <v>6</v>
      </c>
      <c r="M11" s="259"/>
      <c r="N11" s="259"/>
      <c r="O11" s="259"/>
      <c r="P11" s="259"/>
      <c r="Q11" s="259"/>
    </row>
    <row r="12" spans="1:17" x14ac:dyDescent="0.25">
      <c r="A12" s="4"/>
      <c r="B12" s="4" t="s">
        <v>243</v>
      </c>
      <c r="C12" s="4">
        <v>1.88</v>
      </c>
      <c r="D12" s="4">
        <v>1.88</v>
      </c>
      <c r="E12" s="4"/>
      <c r="F12" s="4"/>
      <c r="G12" s="4"/>
      <c r="H12" s="4"/>
      <c r="J12" s="260"/>
      <c r="K12" s="258" t="s">
        <v>229</v>
      </c>
      <c r="L12" s="262" t="s">
        <v>10</v>
      </c>
      <c r="M12" s="259"/>
      <c r="N12" s="259"/>
      <c r="O12" s="259"/>
      <c r="P12" s="259"/>
      <c r="Q12" s="259"/>
    </row>
    <row r="13" spans="1:17" x14ac:dyDescent="0.25">
      <c r="A13" s="4"/>
      <c r="B13" s="4" t="s">
        <v>272</v>
      </c>
      <c r="C13" s="4">
        <f>C14+C15+C16</f>
        <v>9.1</v>
      </c>
      <c r="D13" s="4"/>
      <c r="E13" s="4">
        <v>9.1</v>
      </c>
      <c r="F13" s="4"/>
      <c r="G13" s="4"/>
      <c r="H13" s="4"/>
    </row>
    <row r="14" spans="1:17" x14ac:dyDescent="0.25">
      <c r="A14" s="4"/>
      <c r="B14" s="256" t="s">
        <v>228</v>
      </c>
      <c r="C14" s="256">
        <v>3</v>
      </c>
      <c r="D14" s="4"/>
      <c r="E14" s="4"/>
      <c r="F14" s="4"/>
      <c r="G14" s="4"/>
      <c r="H14" s="4"/>
    </row>
    <row r="15" spans="1:17" x14ac:dyDescent="0.25">
      <c r="A15" s="4"/>
      <c r="B15" s="256" t="s">
        <v>273</v>
      </c>
      <c r="C15" s="256">
        <v>1.1000000000000001</v>
      </c>
      <c r="D15" s="4"/>
      <c r="E15" s="4"/>
      <c r="F15" s="4"/>
      <c r="G15" s="4"/>
      <c r="H15" s="4"/>
    </row>
    <row r="16" spans="1:17" x14ac:dyDescent="0.25">
      <c r="A16" s="4"/>
      <c r="B16" s="256" t="s">
        <v>274</v>
      </c>
      <c r="C16" s="256">
        <v>5</v>
      </c>
      <c r="D16" s="4"/>
      <c r="E16" s="4"/>
      <c r="F16" s="4"/>
      <c r="G16" s="4"/>
      <c r="H16" s="4"/>
    </row>
    <row r="18" spans="1:8" x14ac:dyDescent="0.25">
      <c r="A18" s="4"/>
      <c r="B18" s="4" t="s">
        <v>266</v>
      </c>
      <c r="C18" s="4"/>
      <c r="D18" s="4"/>
      <c r="E18" s="4"/>
      <c r="F18" s="4"/>
      <c r="G18" s="4"/>
      <c r="H18" s="4"/>
    </row>
    <row r="19" spans="1:8" x14ac:dyDescent="0.25">
      <c r="A19" s="4"/>
      <c r="B19" s="4" t="s">
        <v>267</v>
      </c>
      <c r="C19" s="4"/>
      <c r="D19" s="4"/>
      <c r="E19" s="4">
        <v>50.65</v>
      </c>
      <c r="F19" s="4"/>
      <c r="G19" s="4" t="s">
        <v>268</v>
      </c>
      <c r="H19" s="4"/>
    </row>
    <row r="20" spans="1:8" x14ac:dyDescent="0.25">
      <c r="A20" s="4"/>
      <c r="B20" s="4" t="s">
        <v>271</v>
      </c>
      <c r="C20" s="4"/>
      <c r="D20" s="4"/>
      <c r="E20" s="4"/>
      <c r="F20" s="4"/>
      <c r="G20" s="4"/>
      <c r="H20" s="4"/>
    </row>
    <row r="21" spans="1:8" x14ac:dyDescent="0.25">
      <c r="A21" s="4"/>
      <c r="B21" s="4" t="s">
        <v>275</v>
      </c>
      <c r="C21" s="4">
        <v>0.17499999999999999</v>
      </c>
      <c r="D21" s="4"/>
      <c r="E21" s="4">
        <v>0.17499999999999999</v>
      </c>
      <c r="F21" s="4"/>
      <c r="G21" s="4"/>
      <c r="H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BT59"/>
  <sheetViews>
    <sheetView topLeftCell="BF14" zoomScale="81" zoomScaleNormal="81" workbookViewId="0">
      <selection activeCell="BO27" sqref="BO27"/>
    </sheetView>
  </sheetViews>
  <sheetFormatPr defaultColWidth="10.7109375" defaultRowHeight="17.25" x14ac:dyDescent="0.3"/>
  <cols>
    <col min="1" max="27" width="10.7109375" style="232"/>
    <col min="28" max="29" width="12.28515625" style="232" bestFit="1" customWidth="1"/>
    <col min="30" max="30" width="10.85546875" style="232" bestFit="1" customWidth="1"/>
    <col min="31" max="39" width="10.7109375" style="232"/>
    <col min="40" max="41" width="12.28515625" style="232" bestFit="1" customWidth="1"/>
    <col min="42" max="42" width="10.85546875" style="232" bestFit="1" customWidth="1"/>
    <col min="43" max="47" width="10.7109375" style="232"/>
    <col min="48" max="48" width="31" style="232" customWidth="1"/>
    <col min="49" max="52" width="10.7109375" style="232"/>
    <col min="53" max="53" width="13.5703125" style="232" bestFit="1" customWidth="1"/>
    <col min="54" max="54" width="46.7109375" style="232" customWidth="1"/>
    <col min="55" max="56" width="19.7109375" style="232" customWidth="1"/>
    <col min="57" max="57" width="19.5703125" style="232" customWidth="1"/>
    <col min="58" max="58" width="10.7109375" style="232"/>
    <col min="59" max="59" width="8" style="19" customWidth="1"/>
    <col min="60" max="60" width="14" style="19" customWidth="1"/>
    <col min="61" max="61" width="18.7109375" style="19" customWidth="1"/>
    <col min="62" max="62" width="15" style="19" customWidth="1"/>
    <col min="63" max="63" width="13.140625" style="19" customWidth="1"/>
    <col min="64" max="72" width="28" style="19" customWidth="1"/>
    <col min="73" max="16384" width="10.7109375" style="232"/>
  </cols>
  <sheetData>
    <row r="1" spans="1:72" s="314" customFormat="1" ht="18.75" x14ac:dyDescent="0.3">
      <c r="B1" s="315" t="s">
        <v>440</v>
      </c>
      <c r="G1" s="314" t="s">
        <v>388</v>
      </c>
      <c r="M1" s="315" t="s">
        <v>438</v>
      </c>
      <c r="T1" s="315" t="s">
        <v>439</v>
      </c>
      <c r="AA1" s="315" t="s">
        <v>392</v>
      </c>
      <c r="AH1" s="325"/>
      <c r="AI1" s="322"/>
      <c r="AJ1" s="322"/>
      <c r="AK1" s="322"/>
      <c r="AM1" s="314" t="s">
        <v>393</v>
      </c>
      <c r="BG1" s="368"/>
      <c r="BH1" s="368"/>
      <c r="BI1" s="368"/>
      <c r="BJ1" s="368"/>
      <c r="BK1" s="368"/>
      <c r="BL1" s="368"/>
      <c r="BM1" s="368"/>
      <c r="BN1" s="368"/>
      <c r="BO1" s="368"/>
      <c r="BP1" s="368"/>
      <c r="BQ1" s="368"/>
      <c r="BR1" s="368"/>
      <c r="BS1" s="368"/>
      <c r="BT1" s="368"/>
    </row>
    <row r="2" spans="1:72" s="316" customFormat="1" ht="18.75" x14ac:dyDescent="0.3">
      <c r="A2" s="316" t="s">
        <v>394</v>
      </c>
      <c r="B2" s="324"/>
      <c r="G2" s="316" t="s">
        <v>394</v>
      </c>
      <c r="M2" s="316" t="s">
        <v>394</v>
      </c>
      <c r="O2" s="323"/>
      <c r="S2" s="316" t="s">
        <v>394</v>
      </c>
      <c r="T2" s="324"/>
      <c r="Z2" s="316" t="s">
        <v>394</v>
      </c>
      <c r="AA2" s="324"/>
      <c r="AH2" s="325" t="s">
        <v>401</v>
      </c>
      <c r="AL2" s="316" t="s">
        <v>394</v>
      </c>
      <c r="BG2" s="369"/>
      <c r="BH2" s="369"/>
      <c r="BI2" s="369"/>
      <c r="BJ2" s="369"/>
      <c r="BK2" s="369"/>
      <c r="BL2" s="369"/>
      <c r="BM2" s="369" t="s">
        <v>458</v>
      </c>
      <c r="BN2" s="369"/>
      <c r="BO2" s="369"/>
      <c r="BP2" s="369"/>
      <c r="BQ2" s="369"/>
      <c r="BR2" s="369"/>
      <c r="BS2" s="369"/>
      <c r="BT2" s="369"/>
    </row>
    <row r="3" spans="1:72" x14ac:dyDescent="0.3">
      <c r="A3" s="238" t="s">
        <v>1</v>
      </c>
      <c r="B3" s="238" t="s">
        <v>2</v>
      </c>
      <c r="C3" s="239" t="s">
        <v>196</v>
      </c>
      <c r="D3" s="239" t="s">
        <v>395</v>
      </c>
      <c r="E3" s="239" t="s">
        <v>396</v>
      </c>
      <c r="G3" s="238" t="s">
        <v>1</v>
      </c>
      <c r="H3" s="238" t="s">
        <v>2</v>
      </c>
      <c r="I3" s="239" t="s">
        <v>196</v>
      </c>
      <c r="J3" s="317" t="s">
        <v>395</v>
      </c>
      <c r="K3" s="239" t="s">
        <v>396</v>
      </c>
      <c r="M3" s="238" t="s">
        <v>1</v>
      </c>
      <c r="N3" s="238" t="s">
        <v>2</v>
      </c>
      <c r="O3" s="239" t="s">
        <v>196</v>
      </c>
      <c r="P3" s="239" t="s">
        <v>395</v>
      </c>
      <c r="Q3" s="239" t="s">
        <v>396</v>
      </c>
      <c r="S3" s="238" t="s">
        <v>1</v>
      </c>
      <c r="T3" s="238" t="s">
        <v>2</v>
      </c>
      <c r="U3" s="239" t="s">
        <v>196</v>
      </c>
      <c r="V3" s="239" t="s">
        <v>395</v>
      </c>
      <c r="W3" s="239" t="s">
        <v>396</v>
      </c>
      <c r="X3" s="239"/>
      <c r="Z3" s="238" t="s">
        <v>1</v>
      </c>
      <c r="AA3" s="238" t="s">
        <v>2</v>
      </c>
      <c r="AB3" s="239" t="s">
        <v>196</v>
      </c>
      <c r="AC3" s="239" t="s">
        <v>395</v>
      </c>
      <c r="AD3" s="239" t="s">
        <v>396</v>
      </c>
      <c r="AF3" s="238" t="s">
        <v>1</v>
      </c>
      <c r="AG3" s="238" t="s">
        <v>2</v>
      </c>
      <c r="AH3" s="239" t="s">
        <v>196</v>
      </c>
      <c r="AI3" s="239" t="s">
        <v>395</v>
      </c>
      <c r="AJ3" s="239" t="s">
        <v>402</v>
      </c>
      <c r="AL3" s="238" t="s">
        <v>1</v>
      </c>
      <c r="AM3" s="238" t="s">
        <v>2</v>
      </c>
      <c r="AN3" s="239" t="s">
        <v>196</v>
      </c>
      <c r="AO3" s="239" t="s">
        <v>395</v>
      </c>
      <c r="AP3" s="239" t="s">
        <v>396</v>
      </c>
      <c r="AQ3" s="239" t="s">
        <v>461</v>
      </c>
      <c r="AR3" s="239" t="s">
        <v>465</v>
      </c>
      <c r="AS3" s="239" t="s">
        <v>464</v>
      </c>
      <c r="AV3" s="231" t="s">
        <v>397</v>
      </c>
      <c r="AW3" s="231"/>
      <c r="BM3" s="19" t="s">
        <v>459</v>
      </c>
      <c r="BN3" s="19" t="s">
        <v>460</v>
      </c>
    </row>
    <row r="4" spans="1:72" x14ac:dyDescent="0.3">
      <c r="A4" s="241">
        <v>1</v>
      </c>
      <c r="B4" s="239" t="s">
        <v>4</v>
      </c>
      <c r="C4" s="239">
        <f>'[2]Approved MTRMY Fixed Charges'!F5</f>
        <v>206.99</v>
      </c>
      <c r="D4" s="242">
        <f>'Fixed Charges'!C5</f>
        <v>285.65000000000003</v>
      </c>
      <c r="E4" s="242">
        <f>D4-C4</f>
        <v>78.660000000000025</v>
      </c>
      <c r="F4" s="234"/>
      <c r="G4" s="241">
        <v>1</v>
      </c>
      <c r="H4" s="239" t="s">
        <v>4</v>
      </c>
      <c r="I4" s="239">
        <f>'[2]Approved MTRMY Fixed Charges'!C5</f>
        <v>1.44</v>
      </c>
      <c r="J4" s="318">
        <f>'Fixed Charges'!D5</f>
        <v>29.19</v>
      </c>
      <c r="K4" s="242">
        <f>J4-I4</f>
        <v>27.75</v>
      </c>
      <c r="L4" s="234"/>
      <c r="M4" s="241">
        <v>1</v>
      </c>
      <c r="N4" s="239" t="s">
        <v>4</v>
      </c>
      <c r="O4" s="242">
        <f>'[2]Approved MTRMY Fixed Charges'!D5</f>
        <v>0.23</v>
      </c>
      <c r="P4" s="242">
        <f>'Fixed Charges'!E5</f>
        <v>0</v>
      </c>
      <c r="Q4" s="242">
        <f>P4-O4</f>
        <v>-0.23</v>
      </c>
      <c r="S4" s="241">
        <v>1</v>
      </c>
      <c r="T4" s="239" t="s">
        <v>4</v>
      </c>
      <c r="U4" s="243">
        <f>'[2]Approved MTRMY Fixed Charges'!E5</f>
        <v>33.74</v>
      </c>
      <c r="V4" s="242">
        <f ca="1">'Fixed Charges'!F5</f>
        <v>36.450000000000003</v>
      </c>
      <c r="W4" s="242">
        <f ca="1">V4-U4</f>
        <v>2.7100000000000009</v>
      </c>
      <c r="X4" s="242"/>
      <c r="Z4" s="241">
        <v>1</v>
      </c>
      <c r="AA4" s="239" t="s">
        <v>4</v>
      </c>
      <c r="AB4" s="242">
        <f>'[2]Approved MTRMY Fixed Charges'!G5</f>
        <v>104.8</v>
      </c>
      <c r="AC4" s="242">
        <f>'Fixed Charges'!G5</f>
        <v>141.36000000000001</v>
      </c>
      <c r="AD4" s="242">
        <f>AC4-AB4</f>
        <v>36.560000000000016</v>
      </c>
      <c r="AE4" s="234"/>
      <c r="AF4" s="241">
        <v>1</v>
      </c>
      <c r="AG4" s="239" t="s">
        <v>4</v>
      </c>
      <c r="AH4" s="239">
        <v>15.22</v>
      </c>
      <c r="AI4" s="234">
        <f>'F8-NTI'!B4</f>
        <v>8.35</v>
      </c>
      <c r="AJ4" s="239">
        <f>AI4-AH4</f>
        <v>-6.870000000000001</v>
      </c>
      <c r="AK4" s="234">
        <f>C4+I4+O4+U4+AB4-AH4</f>
        <v>331.97999999999996</v>
      </c>
      <c r="AL4" s="241">
        <v>1</v>
      </c>
      <c r="AM4" s="239" t="s">
        <v>4</v>
      </c>
      <c r="AN4" s="242">
        <v>331.98</v>
      </c>
      <c r="AO4" s="242">
        <f ca="1">'Fixed Charges'!I5</f>
        <v>484.3</v>
      </c>
      <c r="AP4" s="242">
        <f ca="1">AO4-AN4</f>
        <v>152.32</v>
      </c>
      <c r="AQ4" s="242">
        <v>81.150000000000006</v>
      </c>
      <c r="AR4" s="242">
        <f ca="1">AO4*AQ4/85</f>
        <v>462.36405882352949</v>
      </c>
      <c r="AS4" s="242">
        <f>AN4*AQ4/85</f>
        <v>316.94325882352945</v>
      </c>
      <c r="AT4" s="234"/>
      <c r="AU4" s="235" t="s">
        <v>394</v>
      </c>
      <c r="BG4" s="19" t="s">
        <v>441</v>
      </c>
    </row>
    <row r="5" spans="1:72" ht="33" customHeight="1" x14ac:dyDescent="0.3">
      <c r="A5" s="241">
        <v>2</v>
      </c>
      <c r="B5" s="239" t="s">
        <v>5</v>
      </c>
      <c r="C5" s="239">
        <f>'[2]Approved MTRMY Fixed Charges'!F6</f>
        <v>206.97</v>
      </c>
      <c r="D5" s="242">
        <f>'Fixed Charges'!C6</f>
        <v>285.65000000000003</v>
      </c>
      <c r="E5" s="242">
        <f t="shared" ref="E5:E18" si="0">D5-C5</f>
        <v>78.680000000000035</v>
      </c>
      <c r="F5" s="234"/>
      <c r="G5" s="241">
        <v>2</v>
      </c>
      <c r="H5" s="239" t="s">
        <v>5</v>
      </c>
      <c r="I5" s="239">
        <f>'[2]Approved MTRMY Fixed Charges'!C6</f>
        <v>45.25</v>
      </c>
      <c r="J5" s="318">
        <f>'Fixed Charges'!D6</f>
        <v>22.51</v>
      </c>
      <c r="K5" s="242">
        <f t="shared" ref="K5:K18" si="1">J5-I5</f>
        <v>-22.74</v>
      </c>
      <c r="L5" s="234"/>
      <c r="M5" s="241">
        <v>2</v>
      </c>
      <c r="N5" s="239" t="s">
        <v>5</v>
      </c>
      <c r="O5" s="242">
        <f>'[2]Approved MTRMY Fixed Charges'!D6</f>
        <v>0</v>
      </c>
      <c r="P5" s="242">
        <f>'Fixed Charges'!E6</f>
        <v>0</v>
      </c>
      <c r="Q5" s="242">
        <f t="shared" ref="Q5:Q18" si="2">P5-O5</f>
        <v>0</v>
      </c>
      <c r="S5" s="241">
        <v>2</v>
      </c>
      <c r="T5" s="239" t="s">
        <v>5</v>
      </c>
      <c r="U5" s="243">
        <f>'[2]Approved MTRMY Fixed Charges'!E6</f>
        <v>32.96</v>
      </c>
      <c r="V5" s="242">
        <f ca="1">'Fixed Charges'!F6</f>
        <v>36.29</v>
      </c>
      <c r="W5" s="242">
        <f t="shared" ref="W5:W18" ca="1" si="3">V5-U5</f>
        <v>3.3299999999999983</v>
      </c>
      <c r="X5" s="242"/>
      <c r="Z5" s="241">
        <v>2</v>
      </c>
      <c r="AA5" s="239" t="s">
        <v>5</v>
      </c>
      <c r="AB5" s="242">
        <f>'[2]Approved MTRMY Fixed Charges'!G6</f>
        <v>114.02</v>
      </c>
      <c r="AC5" s="242">
        <f>'Fixed Charges'!G6</f>
        <v>153.76</v>
      </c>
      <c r="AD5" s="242">
        <f t="shared" ref="AD5:AD18" si="4">AC5-AB5</f>
        <v>39.739999999999995</v>
      </c>
      <c r="AE5" s="234"/>
      <c r="AF5" s="241">
        <v>2</v>
      </c>
      <c r="AG5" s="239" t="s">
        <v>5</v>
      </c>
      <c r="AH5" s="239">
        <v>8.5299999999999994</v>
      </c>
      <c r="AI5" s="234">
        <f>'F8-NTI'!B5</f>
        <v>8.35</v>
      </c>
      <c r="AJ5" s="239">
        <f t="shared" ref="AJ5:AJ19" si="5">AI5-AH5</f>
        <v>-0.17999999999999972</v>
      </c>
      <c r="AK5" s="234">
        <f t="shared" ref="AK5:AK18" si="6">C5+I5+O5+U5+AB5-AH5</f>
        <v>390.67</v>
      </c>
      <c r="AL5" s="241">
        <v>2</v>
      </c>
      <c r="AM5" s="239" t="s">
        <v>5</v>
      </c>
      <c r="AN5" s="242">
        <v>390.67</v>
      </c>
      <c r="AO5" s="242">
        <f ca="1">'Fixed Charges'!I6</f>
        <v>489.86</v>
      </c>
      <c r="AP5" s="242">
        <f t="shared" ref="AP5:AP18" ca="1" si="7">AO5-AN5</f>
        <v>99.19</v>
      </c>
      <c r="AQ5" s="242">
        <v>94.91</v>
      </c>
      <c r="AR5" s="242">
        <f ca="1">AO5</f>
        <v>489.86</v>
      </c>
      <c r="AS5" s="242">
        <f>AN5</f>
        <v>390.67</v>
      </c>
      <c r="AT5" s="234"/>
      <c r="AU5" s="244" t="s">
        <v>231</v>
      </c>
      <c r="AV5" s="238" t="s">
        <v>398</v>
      </c>
      <c r="AW5" s="143" t="s">
        <v>196</v>
      </c>
      <c r="AX5" s="143" t="s">
        <v>334</v>
      </c>
      <c r="AY5" s="143" t="s">
        <v>396</v>
      </c>
      <c r="BA5" s="273" t="s">
        <v>231</v>
      </c>
      <c r="BB5" s="273" t="s">
        <v>407</v>
      </c>
      <c r="BC5" s="382" t="s">
        <v>463</v>
      </c>
      <c r="BD5" s="382" t="s">
        <v>462</v>
      </c>
      <c r="BE5" s="274" t="s">
        <v>408</v>
      </c>
      <c r="BG5" s="10" t="s">
        <v>231</v>
      </c>
      <c r="BH5" s="10" t="s">
        <v>21</v>
      </c>
      <c r="BI5" s="103" t="s">
        <v>442</v>
      </c>
      <c r="BJ5" s="10" t="s">
        <v>443</v>
      </c>
      <c r="BK5" s="10" t="s">
        <v>396</v>
      </c>
      <c r="BP5" s="378"/>
      <c r="BQ5" s="378"/>
      <c r="BR5" s="378"/>
    </row>
    <row r="6" spans="1:72" x14ac:dyDescent="0.3">
      <c r="A6" s="241">
        <v>3</v>
      </c>
      <c r="B6" s="239" t="s">
        <v>6</v>
      </c>
      <c r="C6" s="239">
        <f>'[2]Approved MTRMY Fixed Charges'!F7</f>
        <v>483.04</v>
      </c>
      <c r="D6" s="242">
        <f>'Fixed Charges'!C7</f>
        <v>536.74</v>
      </c>
      <c r="E6" s="242">
        <f t="shared" si="0"/>
        <v>53.699999999999989</v>
      </c>
      <c r="F6" s="234"/>
      <c r="G6" s="241">
        <v>3</v>
      </c>
      <c r="H6" s="239" t="s">
        <v>6</v>
      </c>
      <c r="I6" s="239">
        <f>'[2]Approved MTRMY Fixed Charges'!C7</f>
        <v>186.42</v>
      </c>
      <c r="J6" s="318">
        <f>'Fixed Charges'!D7</f>
        <v>174.74</v>
      </c>
      <c r="K6" s="242">
        <f t="shared" si="1"/>
        <v>-11.679999999999978</v>
      </c>
      <c r="L6" s="234"/>
      <c r="M6" s="241">
        <v>3</v>
      </c>
      <c r="N6" s="239" t="s">
        <v>6</v>
      </c>
      <c r="O6" s="242">
        <f>'[2]Approved MTRMY Fixed Charges'!D7</f>
        <v>242.01</v>
      </c>
      <c r="P6" s="242">
        <f>'Fixed Charges'!E7</f>
        <v>220.61</v>
      </c>
      <c r="Q6" s="242">
        <f t="shared" si="2"/>
        <v>-21.399999999999977</v>
      </c>
      <c r="S6" s="241">
        <v>3</v>
      </c>
      <c r="T6" s="239" t="s">
        <v>6</v>
      </c>
      <c r="U6" s="243">
        <f>'[2]Approved MTRMY Fixed Charges'!E7</f>
        <v>61.34</v>
      </c>
      <c r="V6" s="242">
        <f ca="1">'Fixed Charges'!F7</f>
        <v>62.76</v>
      </c>
      <c r="W6" s="242">
        <f t="shared" ca="1" si="3"/>
        <v>1.4199999999999946</v>
      </c>
      <c r="X6" s="242"/>
      <c r="Z6" s="241">
        <v>3</v>
      </c>
      <c r="AA6" s="239" t="s">
        <v>6</v>
      </c>
      <c r="AB6" s="242">
        <f>'[2]Approved MTRMY Fixed Charges'!G7</f>
        <v>243.82</v>
      </c>
      <c r="AC6" s="242">
        <f>'Fixed Charges'!G7</f>
        <v>317.57</v>
      </c>
      <c r="AD6" s="242">
        <f>AC6-AB6</f>
        <v>73.75</v>
      </c>
      <c r="AE6" s="234"/>
      <c r="AF6" s="241">
        <v>3</v>
      </c>
      <c r="AG6" s="239" t="s">
        <v>6</v>
      </c>
      <c r="AH6" s="239">
        <v>10.83</v>
      </c>
      <c r="AI6" s="234">
        <f>'F8-NTI'!B6</f>
        <v>12.92</v>
      </c>
      <c r="AJ6" s="239">
        <f t="shared" si="5"/>
        <v>2.09</v>
      </c>
      <c r="AK6" s="234">
        <f t="shared" si="6"/>
        <v>1205.8000000000002</v>
      </c>
      <c r="AL6" s="241">
        <v>3</v>
      </c>
      <c r="AM6" s="239" t="s">
        <v>6</v>
      </c>
      <c r="AN6" s="242">
        <v>1205.8</v>
      </c>
      <c r="AO6" s="242">
        <f ca="1">'Fixed Charges'!I7</f>
        <v>1299.5</v>
      </c>
      <c r="AP6" s="242">
        <f t="shared" ca="1" si="7"/>
        <v>93.700000000000045</v>
      </c>
      <c r="AQ6" s="242">
        <v>87.55</v>
      </c>
      <c r="AR6" s="242">
        <f ca="1">AO6</f>
        <v>1299.5</v>
      </c>
      <c r="AS6" s="242">
        <f>AN6</f>
        <v>1205.8</v>
      </c>
      <c r="AT6" s="234"/>
      <c r="AU6" s="245">
        <v>1</v>
      </c>
      <c r="AV6" s="239" t="s">
        <v>197</v>
      </c>
      <c r="AW6" s="239">
        <f>I19</f>
        <v>986.73</v>
      </c>
      <c r="AX6" s="239">
        <f>J19</f>
        <v>774.45999999999992</v>
      </c>
      <c r="AY6" s="242">
        <f>AX6-AW6</f>
        <v>-212.2700000000001</v>
      </c>
      <c r="BA6" s="272">
        <v>1</v>
      </c>
      <c r="BB6" s="273" t="s">
        <v>409</v>
      </c>
      <c r="BC6" s="275">
        <f>AX9</f>
        <v>2700.87</v>
      </c>
      <c r="BD6" s="275">
        <f>AY9</f>
        <v>831.83999999999992</v>
      </c>
      <c r="BE6" s="275">
        <f t="shared" ref="BE6:BE11" si="8">AX44</f>
        <v>2959.1400000000003</v>
      </c>
      <c r="BG6" s="370">
        <v>1</v>
      </c>
      <c r="BH6" s="371" t="s">
        <v>4</v>
      </c>
      <c r="BI6" s="372">
        <v>11026645250.831541</v>
      </c>
      <c r="BJ6" s="373"/>
      <c r="BK6" s="10"/>
      <c r="BP6" s="378"/>
      <c r="BQ6" s="378"/>
      <c r="BR6" s="378"/>
    </row>
    <row r="7" spans="1:72" x14ac:dyDescent="0.3">
      <c r="A7" s="241">
        <v>4</v>
      </c>
      <c r="B7" s="239" t="s">
        <v>7</v>
      </c>
      <c r="C7" s="239">
        <f>'[2]Approved MTRMY Fixed Charges'!F8</f>
        <v>17.48</v>
      </c>
      <c r="D7" s="242">
        <f>'Fixed Charges'!C8</f>
        <v>23.780000000000005</v>
      </c>
      <c r="E7" s="242">
        <f t="shared" si="0"/>
        <v>6.3000000000000043</v>
      </c>
      <c r="F7" s="234"/>
      <c r="G7" s="241">
        <v>4</v>
      </c>
      <c r="H7" s="239" t="s">
        <v>7</v>
      </c>
      <c r="I7" s="239">
        <f>'[2]Approved MTRMY Fixed Charges'!C8</f>
        <v>1.18</v>
      </c>
      <c r="J7" s="318">
        <f>'Fixed Charges'!D8</f>
        <v>3.32</v>
      </c>
      <c r="K7" s="242">
        <f t="shared" si="1"/>
        <v>2.1399999999999997</v>
      </c>
      <c r="L7" s="234"/>
      <c r="M7" s="241">
        <v>4</v>
      </c>
      <c r="N7" s="239" t="s">
        <v>7</v>
      </c>
      <c r="O7" s="242" t="str">
        <f>'[2]Approved MTRMY Fixed Charges'!D8</f>
        <v>-</v>
      </c>
      <c r="P7" s="242">
        <f>'Fixed Charges'!E8</f>
        <v>0</v>
      </c>
      <c r="Q7" s="242"/>
      <c r="S7" s="241">
        <v>4</v>
      </c>
      <c r="T7" s="239" t="s">
        <v>7</v>
      </c>
      <c r="U7" s="243">
        <f>'[2]Approved MTRMY Fixed Charges'!E8</f>
        <v>0.2</v>
      </c>
      <c r="V7" s="242">
        <f ca="1">'Fixed Charges'!F8</f>
        <v>1.23</v>
      </c>
      <c r="W7" s="242">
        <f t="shared" ca="1" si="3"/>
        <v>1.03</v>
      </c>
      <c r="X7" s="242"/>
      <c r="Z7" s="241">
        <v>4</v>
      </c>
      <c r="AA7" s="239" t="s">
        <v>7</v>
      </c>
      <c r="AB7" s="242">
        <f>'[2]Approved MTRMY Fixed Charges'!G8</f>
        <v>1.03</v>
      </c>
      <c r="AC7" s="242">
        <f>'Fixed Charges'!G8</f>
        <v>1.39</v>
      </c>
      <c r="AD7" s="242">
        <f t="shared" si="4"/>
        <v>0.35999999999999988</v>
      </c>
      <c r="AE7" s="234"/>
      <c r="AF7" s="241">
        <v>4</v>
      </c>
      <c r="AG7" s="239" t="s">
        <v>7</v>
      </c>
      <c r="AH7" s="239">
        <v>0.26</v>
      </c>
      <c r="AI7" s="234">
        <f>'F8-NTI'!B7</f>
        <v>1.8</v>
      </c>
      <c r="AJ7" s="239">
        <f t="shared" si="5"/>
        <v>1.54</v>
      </c>
      <c r="AK7" s="234">
        <f>C7+I7+0+U7+AB7-AH7</f>
        <v>19.63</v>
      </c>
      <c r="AL7" s="241">
        <v>4</v>
      </c>
      <c r="AM7" s="239" t="s">
        <v>7</v>
      </c>
      <c r="AN7" s="242">
        <v>19.63</v>
      </c>
      <c r="AO7" s="242">
        <f ca="1">'Fixed Charges'!I8</f>
        <v>27.920000000000005</v>
      </c>
      <c r="AP7" s="242">
        <f t="shared" ca="1" si="7"/>
        <v>8.2900000000000063</v>
      </c>
      <c r="AQ7" s="242">
        <v>20.58</v>
      </c>
      <c r="AR7" s="242">
        <f ca="1">AO7*AQ7/85</f>
        <v>6.7599247058823533</v>
      </c>
      <c r="AS7" s="242">
        <f>AN7*AQ7/85</f>
        <v>4.7527694117647057</v>
      </c>
      <c r="AT7" s="234"/>
      <c r="AU7" s="245">
        <v>2</v>
      </c>
      <c r="AV7" s="239" t="s">
        <v>198</v>
      </c>
      <c r="AW7" s="242">
        <f>O19</f>
        <v>828.92</v>
      </c>
      <c r="AX7" s="242">
        <f>P19</f>
        <v>872.2</v>
      </c>
      <c r="AY7" s="242">
        <f t="shared" ref="AY7:AY10" si="9">AX7-AW7</f>
        <v>43.280000000000086</v>
      </c>
      <c r="BA7" s="272">
        <v>2</v>
      </c>
      <c r="BB7" s="273" t="s">
        <v>197</v>
      </c>
      <c r="BC7" s="274">
        <f t="shared" ref="BC7:BD9" si="10">AX6</f>
        <v>774.45999999999992</v>
      </c>
      <c r="BD7" s="275">
        <f t="shared" si="10"/>
        <v>-212.2700000000001</v>
      </c>
      <c r="BE7" s="274">
        <f t="shared" si="8"/>
        <v>802.79000000000008</v>
      </c>
      <c r="BG7" s="23">
        <v>2</v>
      </c>
      <c r="BH7" s="175" t="s">
        <v>5</v>
      </c>
      <c r="BI7" s="372">
        <v>12021658967.945671</v>
      </c>
      <c r="BJ7" s="373"/>
      <c r="BK7" s="10"/>
      <c r="BP7" s="378"/>
      <c r="BQ7" s="378"/>
      <c r="BR7" s="378"/>
    </row>
    <row r="8" spans="1:72" x14ac:dyDescent="0.3">
      <c r="A8" s="241">
        <v>5</v>
      </c>
      <c r="B8" s="239" t="s">
        <v>8</v>
      </c>
      <c r="C8" s="239">
        <f>'[2]Approved MTRMY Fixed Charges'!F9</f>
        <v>180.28</v>
      </c>
      <c r="D8" s="242">
        <f>'Fixed Charges'!C9</f>
        <v>234.28</v>
      </c>
      <c r="E8" s="242">
        <f t="shared" si="0"/>
        <v>54</v>
      </c>
      <c r="F8" s="234"/>
      <c r="G8" s="241">
        <v>5</v>
      </c>
      <c r="H8" s="239" t="s">
        <v>8</v>
      </c>
      <c r="I8" s="239">
        <f>'[2]Approved MTRMY Fixed Charges'!C9</f>
        <v>88.68</v>
      </c>
      <c r="J8" s="318">
        <f>'Fixed Charges'!D9</f>
        <v>17.5</v>
      </c>
      <c r="K8" s="242">
        <f t="shared" si="1"/>
        <v>-71.180000000000007</v>
      </c>
      <c r="L8" s="234"/>
      <c r="M8" s="241">
        <v>5</v>
      </c>
      <c r="N8" s="239" t="s">
        <v>8</v>
      </c>
      <c r="O8" s="242">
        <v>0</v>
      </c>
      <c r="P8" s="242">
        <f>'Fixed Charges'!E9</f>
        <v>0</v>
      </c>
      <c r="Q8" s="242">
        <f t="shared" si="2"/>
        <v>0</v>
      </c>
      <c r="S8" s="241">
        <v>5</v>
      </c>
      <c r="T8" s="239" t="s">
        <v>8</v>
      </c>
      <c r="U8" s="243">
        <f>'[2]Approved MTRMY Fixed Charges'!E9</f>
        <v>30.45</v>
      </c>
      <c r="V8" s="242">
        <f ca="1">'Fixed Charges'!F9</f>
        <v>34.409999999999997</v>
      </c>
      <c r="W8" s="242">
        <f t="shared" ca="1" si="3"/>
        <v>3.9599999999999973</v>
      </c>
      <c r="X8" s="242"/>
      <c r="Z8" s="241">
        <v>5</v>
      </c>
      <c r="AA8" s="239" t="s">
        <v>8</v>
      </c>
      <c r="AB8" s="242">
        <f>'[2]Approved MTRMY Fixed Charges'!G9</f>
        <v>117.51</v>
      </c>
      <c r="AC8" s="242">
        <f>'Fixed Charges'!G9</f>
        <v>158.4</v>
      </c>
      <c r="AD8" s="242">
        <f t="shared" si="4"/>
        <v>40.89</v>
      </c>
      <c r="AE8" s="234"/>
      <c r="AF8" s="241">
        <v>5</v>
      </c>
      <c r="AG8" s="239" t="s">
        <v>8</v>
      </c>
      <c r="AH8" s="239">
        <v>28</v>
      </c>
      <c r="AI8" s="234">
        <f>'F8-NTI'!B8</f>
        <v>9.9</v>
      </c>
      <c r="AJ8" s="239">
        <f t="shared" si="5"/>
        <v>-18.100000000000001</v>
      </c>
      <c r="AK8" s="234">
        <f t="shared" si="6"/>
        <v>388.92</v>
      </c>
      <c r="AL8" s="241">
        <v>5</v>
      </c>
      <c r="AM8" s="239" t="s">
        <v>8</v>
      </c>
      <c r="AN8" s="242">
        <v>388.92</v>
      </c>
      <c r="AO8" s="242">
        <f ca="1">'Fixed Charges'!I9</f>
        <v>434.69000000000005</v>
      </c>
      <c r="AP8" s="242">
        <f t="shared" ca="1" si="7"/>
        <v>45.770000000000039</v>
      </c>
      <c r="AQ8" s="242">
        <v>82.94</v>
      </c>
      <c r="AR8" s="242">
        <f ca="1">AO8*AQ8/85</f>
        <v>424.15516000000002</v>
      </c>
      <c r="AS8" s="242">
        <f>AN8*AQ8/85</f>
        <v>379.49440941176471</v>
      </c>
      <c r="AT8" s="234"/>
      <c r="AU8" s="245">
        <v>3</v>
      </c>
      <c r="AV8" s="239" t="s">
        <v>104</v>
      </c>
      <c r="AW8" s="242">
        <f>U19</f>
        <v>291.25</v>
      </c>
      <c r="AX8" s="242">
        <f ca="1">V19</f>
        <v>336.06</v>
      </c>
      <c r="AY8" s="242">
        <f t="shared" ca="1" si="9"/>
        <v>44.81</v>
      </c>
      <c r="BA8" s="272">
        <v>3</v>
      </c>
      <c r="BB8" s="273" t="s">
        <v>410</v>
      </c>
      <c r="BC8" s="275">
        <f t="shared" si="10"/>
        <v>872.2</v>
      </c>
      <c r="BD8" s="275">
        <f t="shared" si="10"/>
        <v>43.280000000000086</v>
      </c>
      <c r="BE8" s="275">
        <f t="shared" si="8"/>
        <v>793.74</v>
      </c>
      <c r="BG8" s="23">
        <v>3</v>
      </c>
      <c r="BH8" s="175" t="s">
        <v>6</v>
      </c>
      <c r="BI8" s="372">
        <v>19148400324.237324</v>
      </c>
      <c r="BJ8" s="373"/>
      <c r="BK8" s="10"/>
      <c r="BP8" s="378"/>
      <c r="BQ8" s="378"/>
      <c r="BR8" s="378"/>
    </row>
    <row r="9" spans="1:72" x14ac:dyDescent="0.3">
      <c r="A9" s="241">
        <v>6</v>
      </c>
      <c r="B9" s="239" t="s">
        <v>9</v>
      </c>
      <c r="C9" s="239">
        <f>'[2]Approved MTRMY Fixed Charges'!F10</f>
        <v>204.77</v>
      </c>
      <c r="D9" s="242">
        <f>'Fixed Charges'!C10</f>
        <v>281.14</v>
      </c>
      <c r="E9" s="242">
        <f t="shared" si="0"/>
        <v>76.369999999999976</v>
      </c>
      <c r="F9" s="234"/>
      <c r="G9" s="241">
        <v>6</v>
      </c>
      <c r="H9" s="239" t="s">
        <v>9</v>
      </c>
      <c r="I9" s="239">
        <f>'[2]Approved MTRMY Fixed Charges'!C10</f>
        <v>127.75</v>
      </c>
      <c r="J9" s="318">
        <f>'Fixed Charges'!D10</f>
        <v>113.12</v>
      </c>
      <c r="K9" s="242">
        <f t="shared" si="1"/>
        <v>-14.629999999999995</v>
      </c>
      <c r="L9" s="234"/>
      <c r="M9" s="241">
        <v>6</v>
      </c>
      <c r="N9" s="239" t="s">
        <v>9</v>
      </c>
      <c r="O9" s="242">
        <f>'[2]Approved MTRMY Fixed Charges'!D10</f>
        <v>96.93</v>
      </c>
      <c r="P9" s="242">
        <f>'Fixed Charges'!E10</f>
        <v>114.23</v>
      </c>
      <c r="Q9" s="242">
        <f t="shared" si="2"/>
        <v>17.299999999999997</v>
      </c>
      <c r="S9" s="241">
        <v>6</v>
      </c>
      <c r="T9" s="239" t="s">
        <v>9</v>
      </c>
      <c r="U9" s="243">
        <f>'[2]Approved MTRMY Fixed Charges'!E10</f>
        <v>37.36</v>
      </c>
      <c r="V9" s="242">
        <f ca="1">'Fixed Charges'!F10</f>
        <v>45.72</v>
      </c>
      <c r="W9" s="242">
        <f t="shared" ca="1" si="3"/>
        <v>8.36</v>
      </c>
      <c r="X9" s="242"/>
      <c r="Z9" s="241">
        <v>6</v>
      </c>
      <c r="AA9" s="239" t="s">
        <v>9</v>
      </c>
      <c r="AB9" s="242">
        <f>'[2]Approved MTRMY Fixed Charges'!G10</f>
        <v>174.77</v>
      </c>
      <c r="AC9" s="242">
        <f>'Fixed Charges'!G10</f>
        <v>234.32</v>
      </c>
      <c r="AD9" s="242">
        <f t="shared" si="4"/>
        <v>59.549999999999983</v>
      </c>
      <c r="AE9" s="234"/>
      <c r="AF9" s="241">
        <v>6</v>
      </c>
      <c r="AG9" s="239" t="s">
        <v>9</v>
      </c>
      <c r="AH9" s="239">
        <v>29.9</v>
      </c>
      <c r="AI9" s="234">
        <f>'F8-NTI'!B9</f>
        <v>11.89</v>
      </c>
      <c r="AJ9" s="239">
        <f t="shared" si="5"/>
        <v>-18.009999999999998</v>
      </c>
      <c r="AK9" s="234">
        <f t="shared" si="6"/>
        <v>611.68000000000006</v>
      </c>
      <c r="AL9" s="241">
        <v>6</v>
      </c>
      <c r="AM9" s="239" t="s">
        <v>9</v>
      </c>
      <c r="AN9" s="242">
        <v>611.67999999999995</v>
      </c>
      <c r="AO9" s="242">
        <f ca="1">'Fixed Charges'!I10</f>
        <v>776.64</v>
      </c>
      <c r="AP9" s="242">
        <f t="shared" ca="1" si="7"/>
        <v>164.96000000000004</v>
      </c>
      <c r="AQ9" s="242">
        <v>76.37</v>
      </c>
      <c r="AR9" s="242">
        <f ca="1">AO9*AQ9/85</f>
        <v>697.78819764705884</v>
      </c>
      <c r="AS9" s="242">
        <f>AN9*AQ9/85</f>
        <v>549.57648941176467</v>
      </c>
      <c r="AT9" s="234"/>
      <c r="AU9" s="245">
        <v>4</v>
      </c>
      <c r="AV9" s="239" t="s">
        <v>199</v>
      </c>
      <c r="AW9" s="239">
        <f>C19</f>
        <v>1869.03</v>
      </c>
      <c r="AX9" s="239">
        <f>D19</f>
        <v>2700.87</v>
      </c>
      <c r="AY9" s="242">
        <f t="shared" si="9"/>
        <v>831.83999999999992</v>
      </c>
      <c r="BA9" s="272">
        <v>4</v>
      </c>
      <c r="BB9" s="273" t="s">
        <v>411</v>
      </c>
      <c r="BC9" s="276">
        <f t="shared" ca="1" si="10"/>
        <v>336.06</v>
      </c>
      <c r="BD9" s="276">
        <f t="shared" ca="1" si="10"/>
        <v>44.81</v>
      </c>
      <c r="BE9" s="277">
        <f t="shared" ca="1" si="8"/>
        <v>316.43999999999994</v>
      </c>
      <c r="BG9" s="23">
        <v>4</v>
      </c>
      <c r="BH9" s="175" t="s">
        <v>7</v>
      </c>
      <c r="BI9" s="372">
        <v>80121699.209579185</v>
      </c>
      <c r="BJ9" s="373"/>
      <c r="BK9" s="10"/>
      <c r="BP9" s="378"/>
      <c r="BQ9" s="378"/>
      <c r="BR9" s="378"/>
    </row>
    <row r="10" spans="1:72" x14ac:dyDescent="0.3">
      <c r="A10" s="241">
        <v>7</v>
      </c>
      <c r="B10" s="239" t="s">
        <v>10</v>
      </c>
      <c r="C10" s="239">
        <f>'[2]Approved MTRMY Fixed Charges'!F11</f>
        <v>189.59</v>
      </c>
      <c r="D10" s="242">
        <f>'Fixed Charges'!C11</f>
        <v>451.38</v>
      </c>
      <c r="E10" s="242">
        <f t="shared" si="0"/>
        <v>261.78999999999996</v>
      </c>
      <c r="F10" s="234"/>
      <c r="G10" s="241">
        <v>7</v>
      </c>
      <c r="H10" s="239" t="s">
        <v>10</v>
      </c>
      <c r="I10" s="239">
        <f>'[2]Approved MTRMY Fixed Charges'!C11</f>
        <v>274.31</v>
      </c>
      <c r="J10" s="318">
        <f>'Fixed Charges'!D11</f>
        <v>247.18</v>
      </c>
      <c r="K10" s="242">
        <f t="shared" si="1"/>
        <v>-27.129999999999995</v>
      </c>
      <c r="L10" s="234"/>
      <c r="M10" s="241">
        <v>7</v>
      </c>
      <c r="N10" s="239" t="s">
        <v>10</v>
      </c>
      <c r="O10" s="242">
        <f>'[2]Approved MTRMY Fixed Charges'!D11</f>
        <v>387.89</v>
      </c>
      <c r="P10" s="242">
        <f>'Fixed Charges'!E11</f>
        <v>398.58</v>
      </c>
      <c r="Q10" s="242">
        <f t="shared" si="2"/>
        <v>10.689999999999998</v>
      </c>
      <c r="S10" s="241">
        <v>7</v>
      </c>
      <c r="T10" s="239" t="s">
        <v>10</v>
      </c>
      <c r="U10" s="243">
        <f>'[2]Approved MTRMY Fixed Charges'!E11</f>
        <v>70.14</v>
      </c>
      <c r="V10" s="242">
        <f ca="1">'Fixed Charges'!F11</f>
        <v>86.53</v>
      </c>
      <c r="W10" s="242">
        <f t="shared" ca="1" si="3"/>
        <v>16.39</v>
      </c>
      <c r="X10" s="242"/>
      <c r="Z10" s="241">
        <v>7</v>
      </c>
      <c r="AA10" s="239" t="s">
        <v>10</v>
      </c>
      <c r="AB10" s="242">
        <f>'[2]Approved MTRMY Fixed Charges'!G11</f>
        <v>377.86</v>
      </c>
      <c r="AC10" s="242">
        <f>'Fixed Charges'!G11</f>
        <v>465.1</v>
      </c>
      <c r="AD10" s="242">
        <f t="shared" si="4"/>
        <v>87.240000000000009</v>
      </c>
      <c r="AE10" s="234"/>
      <c r="AF10" s="241">
        <v>7</v>
      </c>
      <c r="AG10" s="239" t="s">
        <v>10</v>
      </c>
      <c r="AH10" s="239">
        <v>11.62</v>
      </c>
      <c r="AI10" s="234">
        <f>'F8-NTI'!B10</f>
        <v>15.16</v>
      </c>
      <c r="AJ10" s="239">
        <f t="shared" si="5"/>
        <v>3.5400000000000009</v>
      </c>
      <c r="AK10" s="234">
        <f t="shared" si="6"/>
        <v>1288.17</v>
      </c>
      <c r="AL10" s="241">
        <v>7</v>
      </c>
      <c r="AM10" s="239" t="s">
        <v>10</v>
      </c>
      <c r="AN10" s="242">
        <v>1288.17</v>
      </c>
      <c r="AO10" s="242">
        <f ca="1">'Fixed Charges'!I11</f>
        <v>1633.61</v>
      </c>
      <c r="AP10" s="242">
        <f t="shared" ca="1" si="7"/>
        <v>345.43999999999983</v>
      </c>
      <c r="AQ10" s="242">
        <v>62.86</v>
      </c>
      <c r="AR10" s="242">
        <f ca="1">AO10*AQ10/85</f>
        <v>1208.1026423529411</v>
      </c>
      <c r="AS10" s="242">
        <f>AN10*AQ10/85</f>
        <v>952.63960235294121</v>
      </c>
      <c r="AT10" s="234"/>
      <c r="AU10" s="245">
        <v>5</v>
      </c>
      <c r="AV10" s="239" t="s">
        <v>399</v>
      </c>
      <c r="AW10" s="242">
        <f>AB19</f>
        <v>1444.9799999999996</v>
      </c>
      <c r="AX10" s="242">
        <f>AC19</f>
        <v>2009.55</v>
      </c>
      <c r="AY10" s="242">
        <f t="shared" si="9"/>
        <v>564.57000000000039</v>
      </c>
      <c r="BA10" s="272">
        <v>5</v>
      </c>
      <c r="BB10" s="273" t="s">
        <v>201</v>
      </c>
      <c r="BC10" s="276">
        <f t="shared" ref="BC10:BC15" si="11">AX10</f>
        <v>2009.55</v>
      </c>
      <c r="BD10" s="276">
        <f t="shared" ref="BD10:BD15" si="12">AY10</f>
        <v>564.57000000000039</v>
      </c>
      <c r="BE10" s="277">
        <f t="shared" si="8"/>
        <v>2041.93</v>
      </c>
      <c r="BG10" s="23">
        <v>5</v>
      </c>
      <c r="BH10" s="175" t="s">
        <v>8</v>
      </c>
      <c r="BI10" s="372">
        <v>10639097150.571346</v>
      </c>
      <c r="BJ10" s="373"/>
      <c r="BK10" s="10"/>
      <c r="BP10" s="378"/>
      <c r="BQ10" s="378"/>
      <c r="BR10" s="378"/>
    </row>
    <row r="11" spans="1:72" x14ac:dyDescent="0.3">
      <c r="A11" s="241">
        <v>8</v>
      </c>
      <c r="B11" s="239" t="s">
        <v>11</v>
      </c>
      <c r="C11" s="239">
        <f>'[2]Approved MTRMY Fixed Charges'!F12</f>
        <v>117.51</v>
      </c>
      <c r="D11" s="242">
        <f>'Fixed Charges'!C12</f>
        <v>187.91</v>
      </c>
      <c r="E11" s="242">
        <f t="shared" si="0"/>
        <v>70.399999999999991</v>
      </c>
      <c r="F11" s="234"/>
      <c r="G11" s="241">
        <v>8</v>
      </c>
      <c r="H11" s="239" t="s">
        <v>11</v>
      </c>
      <c r="I11" s="239">
        <f>'[2]Approved MTRMY Fixed Charges'!C12</f>
        <v>87.97</v>
      </c>
      <c r="J11" s="318">
        <f>'Fixed Charges'!D12</f>
        <v>58.92</v>
      </c>
      <c r="K11" s="242">
        <f t="shared" si="1"/>
        <v>-29.049999999999997</v>
      </c>
      <c r="L11" s="234"/>
      <c r="M11" s="241">
        <v>8</v>
      </c>
      <c r="N11" s="239" t="s">
        <v>11</v>
      </c>
      <c r="O11" s="242">
        <f>'[2]Approved MTRMY Fixed Charges'!D12</f>
        <v>0</v>
      </c>
      <c r="P11" s="242">
        <f>'Fixed Charges'!E12</f>
        <v>5.68</v>
      </c>
      <c r="Q11" s="242">
        <f t="shared" si="2"/>
        <v>5.68</v>
      </c>
      <c r="S11" s="241">
        <v>8</v>
      </c>
      <c r="T11" s="239" t="s">
        <v>11</v>
      </c>
      <c r="U11" s="243">
        <f>'[2]Approved MTRMY Fixed Charges'!E12</f>
        <v>6.5</v>
      </c>
      <c r="V11" s="242">
        <f ca="1">'Fixed Charges'!F12</f>
        <v>8.6</v>
      </c>
      <c r="W11" s="242">
        <f t="shared" ca="1" si="3"/>
        <v>2.0999999999999996</v>
      </c>
      <c r="X11" s="242"/>
      <c r="Z11" s="241">
        <v>8</v>
      </c>
      <c r="AA11" s="239" t="s">
        <v>11</v>
      </c>
      <c r="AB11" s="242">
        <f>'[2]Approved MTRMY Fixed Charges'!G12</f>
        <v>73.069999999999993</v>
      </c>
      <c r="AC11" s="242">
        <f>'Fixed Charges'!G12</f>
        <v>127.3</v>
      </c>
      <c r="AD11" s="242">
        <f t="shared" si="4"/>
        <v>54.230000000000004</v>
      </c>
      <c r="AE11" s="234"/>
      <c r="AF11" s="241">
        <v>8</v>
      </c>
      <c r="AG11" s="239" t="s">
        <v>11</v>
      </c>
      <c r="AH11" s="239">
        <v>1</v>
      </c>
      <c r="AI11" s="234">
        <f>'F8-NTI'!B11</f>
        <v>1.6</v>
      </c>
      <c r="AJ11" s="239">
        <f t="shared" si="5"/>
        <v>0.60000000000000009</v>
      </c>
      <c r="AK11" s="234">
        <f t="shared" si="6"/>
        <v>284.05</v>
      </c>
      <c r="AL11" s="241">
        <v>8</v>
      </c>
      <c r="AM11" s="239" t="s">
        <v>11</v>
      </c>
      <c r="AN11" s="242">
        <v>284.05</v>
      </c>
      <c r="AO11" s="242">
        <f ca="1">'Fixed Charges'!I12</f>
        <v>386.81</v>
      </c>
      <c r="AP11" s="242">
        <f t="shared" ca="1" si="7"/>
        <v>102.75999999999999</v>
      </c>
      <c r="AQ11" s="242"/>
      <c r="AR11" s="242">
        <f ca="1">AO11</f>
        <v>386.81</v>
      </c>
      <c r="AS11" s="242">
        <f>AN11</f>
        <v>284.05</v>
      </c>
      <c r="AT11" s="234"/>
      <c r="AU11" s="245">
        <v>6</v>
      </c>
      <c r="AV11" s="239" t="s">
        <v>400</v>
      </c>
      <c r="AW11" s="239">
        <v>109.51</v>
      </c>
      <c r="AX11" s="239">
        <f>AI19</f>
        <v>78.389999999999986</v>
      </c>
      <c r="AY11" s="242">
        <f>AX11-AW11</f>
        <v>-31.120000000000019</v>
      </c>
      <c r="BA11" s="272">
        <v>6</v>
      </c>
      <c r="BB11" s="273" t="s">
        <v>413</v>
      </c>
      <c r="BC11" s="277">
        <f t="shared" si="11"/>
        <v>78.389999999999986</v>
      </c>
      <c r="BD11" s="276">
        <f t="shared" si="12"/>
        <v>-31.120000000000019</v>
      </c>
      <c r="BE11" s="277">
        <f t="shared" si="8"/>
        <v>85.689999999999984</v>
      </c>
      <c r="BG11" s="23">
        <v>6</v>
      </c>
      <c r="BH11" s="175" t="s">
        <v>9</v>
      </c>
      <c r="BI11" s="372">
        <v>11786914143.091675</v>
      </c>
      <c r="BJ11" s="373"/>
      <c r="BK11" s="10"/>
      <c r="BP11" s="378"/>
      <c r="BQ11" s="378"/>
      <c r="BR11" s="378"/>
    </row>
    <row r="12" spans="1:72" x14ac:dyDescent="0.3">
      <c r="A12" s="241">
        <v>9</v>
      </c>
      <c r="B12" s="239" t="s">
        <v>12</v>
      </c>
      <c r="C12" s="239">
        <f>'[2]Approved MTRMY Fixed Charges'!F13</f>
        <v>100.18</v>
      </c>
      <c r="D12" s="242">
        <f>'Fixed Charges'!C13</f>
        <v>189.13000000000002</v>
      </c>
      <c r="E12" s="242">
        <f t="shared" si="0"/>
        <v>88.950000000000017</v>
      </c>
      <c r="F12" s="234"/>
      <c r="G12" s="241">
        <v>9</v>
      </c>
      <c r="H12" s="239" t="s">
        <v>12</v>
      </c>
      <c r="I12" s="239">
        <f>'[2]Approved MTRMY Fixed Charges'!C13</f>
        <v>86.43</v>
      </c>
      <c r="J12" s="318">
        <f>'Fixed Charges'!D13</f>
        <v>58.72</v>
      </c>
      <c r="K12" s="242">
        <f t="shared" si="1"/>
        <v>-27.710000000000008</v>
      </c>
      <c r="L12" s="234"/>
      <c r="M12" s="241">
        <v>9</v>
      </c>
      <c r="N12" s="239" t="s">
        <v>12</v>
      </c>
      <c r="O12" s="242">
        <f>'[2]Approved MTRMY Fixed Charges'!D13</f>
        <v>24.01</v>
      </c>
      <c r="P12" s="242">
        <f>'Fixed Charges'!E13</f>
        <v>41.45</v>
      </c>
      <c r="Q12" s="242">
        <f t="shared" si="2"/>
        <v>17.440000000000001</v>
      </c>
      <c r="S12" s="241">
        <v>9</v>
      </c>
      <c r="T12" s="239" t="s">
        <v>12</v>
      </c>
      <c r="U12" s="243">
        <f>'[2]Approved MTRMY Fixed Charges'!E13</f>
        <v>8.58</v>
      </c>
      <c r="V12" s="242">
        <f ca="1">'Fixed Charges'!F13</f>
        <v>11.81</v>
      </c>
      <c r="W12" s="242">
        <f t="shared" ca="1" si="3"/>
        <v>3.2300000000000004</v>
      </c>
      <c r="X12" s="242"/>
      <c r="Z12" s="241">
        <v>9</v>
      </c>
      <c r="AA12" s="239" t="s">
        <v>12</v>
      </c>
      <c r="AB12" s="242">
        <f>'[2]Approved MTRMY Fixed Charges'!G13</f>
        <v>128.07</v>
      </c>
      <c r="AC12" s="242">
        <f>'Fixed Charges'!G13</f>
        <v>224.31</v>
      </c>
      <c r="AD12" s="242">
        <f t="shared" si="4"/>
        <v>96.240000000000009</v>
      </c>
      <c r="AE12" s="234"/>
      <c r="AF12" s="241">
        <v>9</v>
      </c>
      <c r="AG12" s="239" t="s">
        <v>12</v>
      </c>
      <c r="AH12" s="239">
        <v>2.81</v>
      </c>
      <c r="AI12" s="234">
        <f>'F8-NTI'!B12</f>
        <v>7.38</v>
      </c>
      <c r="AJ12" s="239">
        <f t="shared" si="5"/>
        <v>4.57</v>
      </c>
      <c r="AK12" s="381">
        <f t="shared" si="6"/>
        <v>344.46</v>
      </c>
      <c r="AL12" s="241">
        <v>9</v>
      </c>
      <c r="AM12" s="239" t="s">
        <v>12</v>
      </c>
      <c r="AN12" s="242">
        <v>344.46</v>
      </c>
      <c r="AO12" s="242">
        <f ca="1">'Fixed Charges'!I13</f>
        <v>518.04000000000008</v>
      </c>
      <c r="AP12" s="242">
        <f t="shared" ca="1" si="7"/>
        <v>173.5800000000001</v>
      </c>
      <c r="AQ12" s="242"/>
      <c r="AR12" s="242">
        <f t="shared" ref="AR12:AR18" ca="1" si="13">AO12</f>
        <v>518.04000000000008</v>
      </c>
      <c r="AS12" s="242">
        <f t="shared" ref="AS12:AS18" si="14">AN12</f>
        <v>344.46</v>
      </c>
      <c r="AT12" s="234"/>
      <c r="AU12" s="245"/>
      <c r="AV12" s="143" t="s">
        <v>19</v>
      </c>
      <c r="AW12" s="246">
        <f t="shared" ref="AW12:AX12" si="15">SUM(AW6:AW10)-AW11</f>
        <v>5311.4</v>
      </c>
      <c r="AX12" s="246">
        <f t="shared" ca="1" si="15"/>
        <v>6614.75</v>
      </c>
      <c r="AY12" s="246">
        <f ca="1">SUM(AY6:AY10)-AY11</f>
        <v>1303.3500000000004</v>
      </c>
      <c r="BA12" s="272"/>
      <c r="BB12" s="273" t="s">
        <v>54</v>
      </c>
      <c r="BC12" s="276">
        <f t="shared" ca="1" si="11"/>
        <v>6614.75</v>
      </c>
      <c r="BD12" s="276">
        <f t="shared" ca="1" si="12"/>
        <v>1303.3500000000004</v>
      </c>
      <c r="BE12" s="276">
        <f ca="1">SUM(BE6:BE10)-BE11</f>
        <v>6828.35</v>
      </c>
      <c r="BG12" s="23">
        <v>7</v>
      </c>
      <c r="BH12" s="175" t="s">
        <v>10</v>
      </c>
      <c r="BI12" s="372">
        <v>18278735938.127808</v>
      </c>
      <c r="BJ12" s="373"/>
      <c r="BK12" s="10"/>
      <c r="BP12" s="378"/>
      <c r="BQ12" s="378"/>
      <c r="BR12" s="378"/>
    </row>
    <row r="13" spans="1:72" x14ac:dyDescent="0.3">
      <c r="A13" s="241">
        <v>10</v>
      </c>
      <c r="B13" s="239" t="s">
        <v>13</v>
      </c>
      <c r="C13" s="239">
        <f>'[2]Approved MTRMY Fixed Charges'!F14</f>
        <v>42.19</v>
      </c>
      <c r="D13" s="242">
        <f>'Fixed Charges'!C14</f>
        <v>56.3</v>
      </c>
      <c r="E13" s="242">
        <f t="shared" si="0"/>
        <v>14.11</v>
      </c>
      <c r="F13" s="234"/>
      <c r="G13" s="241">
        <v>10</v>
      </c>
      <c r="H13" s="239" t="s">
        <v>13</v>
      </c>
      <c r="I13" s="239">
        <f>'[2]Approved MTRMY Fixed Charges'!C14</f>
        <v>4.04</v>
      </c>
      <c r="J13" s="318">
        <f>'Fixed Charges'!D14</f>
        <v>1.04</v>
      </c>
      <c r="K13" s="242">
        <f t="shared" si="1"/>
        <v>-3</v>
      </c>
      <c r="L13" s="234"/>
      <c r="M13" s="241">
        <v>10</v>
      </c>
      <c r="N13" s="239" t="s">
        <v>13</v>
      </c>
      <c r="O13" s="242">
        <f>'[2]Approved MTRMY Fixed Charges'!D14</f>
        <v>0</v>
      </c>
      <c r="P13" s="242">
        <f>'Fixed Charges'!E14</f>
        <v>0</v>
      </c>
      <c r="Q13" s="242">
        <f t="shared" si="2"/>
        <v>0</v>
      </c>
      <c r="S13" s="241">
        <v>10</v>
      </c>
      <c r="T13" s="239" t="s">
        <v>13</v>
      </c>
      <c r="U13" s="243">
        <f>'[2]Approved MTRMY Fixed Charges'!E14</f>
        <v>1.1299999999999999</v>
      </c>
      <c r="V13" s="242">
        <f ca="1">'Fixed Charges'!F14</f>
        <v>1.47</v>
      </c>
      <c r="W13" s="242">
        <f t="shared" ca="1" si="3"/>
        <v>0.34000000000000008</v>
      </c>
      <c r="X13" s="242"/>
      <c r="Z13" s="241">
        <v>10</v>
      </c>
      <c r="AA13" s="239" t="s">
        <v>13</v>
      </c>
      <c r="AB13" s="242">
        <f>'[2]Approved MTRMY Fixed Charges'!G14</f>
        <v>4.57</v>
      </c>
      <c r="AC13" s="242">
        <f>'Fixed Charges'!G14</f>
        <v>8.07</v>
      </c>
      <c r="AD13" s="242">
        <f t="shared" si="4"/>
        <v>3.5</v>
      </c>
      <c r="AE13" s="234"/>
      <c r="AF13" s="241">
        <v>10</v>
      </c>
      <c r="AG13" s="239" t="s">
        <v>13</v>
      </c>
      <c r="AH13" s="239">
        <v>0.26</v>
      </c>
      <c r="AI13" s="234">
        <f>'F8-NTI'!B13</f>
        <v>0.14000000000000001</v>
      </c>
      <c r="AJ13" s="239">
        <f t="shared" si="5"/>
        <v>-0.12</v>
      </c>
      <c r="AK13" s="234">
        <f t="shared" si="6"/>
        <v>51.67</v>
      </c>
      <c r="AL13" s="241">
        <v>10</v>
      </c>
      <c r="AM13" s="239" t="s">
        <v>13</v>
      </c>
      <c r="AN13" s="242">
        <v>51.68</v>
      </c>
      <c r="AO13" s="242">
        <f ca="1">'Fixed Charges'!I14</f>
        <v>66.739999999999995</v>
      </c>
      <c r="AP13" s="242">
        <f t="shared" ca="1" si="7"/>
        <v>15.059999999999995</v>
      </c>
      <c r="AQ13" s="242"/>
      <c r="AR13" s="242">
        <f t="shared" ca="1" si="13"/>
        <v>66.739999999999995</v>
      </c>
      <c r="AS13" s="242">
        <f t="shared" si="14"/>
        <v>51.68</v>
      </c>
      <c r="AT13" s="234"/>
      <c r="AU13" s="241">
        <v>7</v>
      </c>
      <c r="AV13" s="239" t="s">
        <v>403</v>
      </c>
      <c r="AW13" s="242">
        <v>1367.73</v>
      </c>
      <c r="AX13" s="242">
        <v>1669.6</v>
      </c>
      <c r="AY13" s="242">
        <f>AX13-AW13</f>
        <v>301.86999999999989</v>
      </c>
      <c r="BA13" s="241">
        <v>7</v>
      </c>
      <c r="BB13" s="143" t="s">
        <v>412</v>
      </c>
      <c r="BC13" s="246">
        <f t="shared" si="11"/>
        <v>1669.6</v>
      </c>
      <c r="BD13" s="246">
        <f t="shared" si="12"/>
        <v>301.86999999999989</v>
      </c>
      <c r="BE13" s="246">
        <f>AX51</f>
        <v>1902.23</v>
      </c>
      <c r="BH13" s="364"/>
      <c r="BI13" s="372">
        <f>SUM(BI6:BI12)</f>
        <v>82981573474.014954</v>
      </c>
      <c r="BJ13" s="307">
        <f>BI13/10000000</f>
        <v>8298.1573474014949</v>
      </c>
      <c r="BK13" s="10"/>
      <c r="BP13" s="378"/>
      <c r="BQ13" s="378"/>
      <c r="BR13" s="378"/>
    </row>
    <row r="14" spans="1:72" x14ac:dyDescent="0.3">
      <c r="A14" s="241">
        <v>11</v>
      </c>
      <c r="B14" s="239" t="s">
        <v>14</v>
      </c>
      <c r="C14" s="239">
        <f>'[2]Approved MTRMY Fixed Charges'!F15</f>
        <v>7.27</v>
      </c>
      <c r="D14" s="242">
        <f>'Fixed Charges'!C15</f>
        <v>8.8899999999999988</v>
      </c>
      <c r="E14" s="242">
        <f t="shared" si="0"/>
        <v>1.6199999999999992</v>
      </c>
      <c r="F14" s="234"/>
      <c r="G14" s="241">
        <v>11</v>
      </c>
      <c r="H14" s="239" t="s">
        <v>14</v>
      </c>
      <c r="I14" s="239">
        <f>'[2]Approved MTRMY Fixed Charges'!C15</f>
        <v>0.9</v>
      </c>
      <c r="J14" s="318">
        <f>'Fixed Charges'!D15</f>
        <v>0.34</v>
      </c>
      <c r="K14" s="242">
        <f t="shared" si="1"/>
        <v>-0.56000000000000005</v>
      </c>
      <c r="L14" s="234"/>
      <c r="M14" s="241">
        <v>11</v>
      </c>
      <c r="N14" s="239" t="s">
        <v>14</v>
      </c>
      <c r="O14" s="242">
        <f>'[2]Approved MTRMY Fixed Charges'!D15</f>
        <v>0</v>
      </c>
      <c r="P14" s="242">
        <f>'Fixed Charges'!E15</f>
        <v>0.06</v>
      </c>
      <c r="Q14" s="242">
        <f t="shared" si="2"/>
        <v>0.06</v>
      </c>
      <c r="S14" s="241">
        <v>11</v>
      </c>
      <c r="T14" s="239" t="s">
        <v>14</v>
      </c>
      <c r="U14" s="243">
        <f>'[2]Approved MTRMY Fixed Charges'!E15</f>
        <v>0.22</v>
      </c>
      <c r="V14" s="242">
        <f ca="1">'Fixed Charges'!F15</f>
        <v>0.26</v>
      </c>
      <c r="W14" s="242">
        <f t="shared" ca="1" si="3"/>
        <v>4.0000000000000008E-2</v>
      </c>
      <c r="X14" s="242"/>
      <c r="Z14" s="241">
        <v>11</v>
      </c>
      <c r="AA14" s="239" t="s">
        <v>14</v>
      </c>
      <c r="AB14" s="242">
        <f>'[2]Approved MTRMY Fixed Charges'!G15</f>
        <v>1.57</v>
      </c>
      <c r="AC14" s="242">
        <f>'Fixed Charges'!G15</f>
        <v>1.94</v>
      </c>
      <c r="AD14" s="242">
        <f t="shared" si="4"/>
        <v>0.36999999999999988</v>
      </c>
      <c r="AE14" s="234"/>
      <c r="AF14" s="241">
        <v>11</v>
      </c>
      <c r="AG14" s="239" t="s">
        <v>14</v>
      </c>
      <c r="AH14" s="239">
        <v>0.09</v>
      </c>
      <c r="AI14" s="234">
        <f>'F8-NTI'!B14</f>
        <v>0.02</v>
      </c>
      <c r="AJ14" s="239">
        <f t="shared" si="5"/>
        <v>-6.9999999999999993E-2</v>
      </c>
      <c r="AK14" s="234">
        <f t="shared" si="6"/>
        <v>9.870000000000001</v>
      </c>
      <c r="AL14" s="241">
        <v>11</v>
      </c>
      <c r="AM14" s="239" t="s">
        <v>14</v>
      </c>
      <c r="AN14" s="242">
        <v>9.8699999999999992</v>
      </c>
      <c r="AO14" s="242">
        <f ca="1">'Fixed Charges'!I15</f>
        <v>11.469999999999999</v>
      </c>
      <c r="AP14" s="242">
        <f t="shared" ca="1" si="7"/>
        <v>1.5999999999999996</v>
      </c>
      <c r="AQ14" s="242"/>
      <c r="AR14" s="242">
        <f t="shared" ca="1" si="13"/>
        <v>11.469999999999999</v>
      </c>
      <c r="AS14" s="242">
        <f t="shared" si="14"/>
        <v>9.8699999999999992</v>
      </c>
      <c r="AT14" s="234"/>
      <c r="AU14" s="245">
        <v>8</v>
      </c>
      <c r="AV14" s="239" t="s">
        <v>176</v>
      </c>
      <c r="AW14" s="242">
        <v>33.47</v>
      </c>
      <c r="AX14" s="242">
        <f>'F8-NTI'!G20</f>
        <v>35.380000000000003</v>
      </c>
      <c r="AY14" s="242">
        <f>AX14-AW14</f>
        <v>1.9100000000000037</v>
      </c>
      <c r="BA14" s="241">
        <v>8</v>
      </c>
      <c r="BB14" s="143" t="s">
        <v>176</v>
      </c>
      <c r="BC14" s="246">
        <f t="shared" si="11"/>
        <v>35.380000000000003</v>
      </c>
      <c r="BD14" s="246">
        <f t="shared" si="12"/>
        <v>1.9100000000000037</v>
      </c>
      <c r="BE14" s="246">
        <f>AX52</f>
        <v>53.48</v>
      </c>
      <c r="BH14" s="364"/>
      <c r="BI14" s="364"/>
      <c r="BJ14" s="374"/>
      <c r="BP14" s="378"/>
      <c r="BQ14" s="378"/>
      <c r="BR14" s="378"/>
    </row>
    <row r="15" spans="1:72" x14ac:dyDescent="0.3">
      <c r="A15" s="241">
        <v>12</v>
      </c>
      <c r="B15" s="239" t="s">
        <v>15</v>
      </c>
      <c r="C15" s="239">
        <f>'[2]Approved MTRMY Fixed Charges'!F16</f>
        <v>6.99</v>
      </c>
      <c r="D15" s="242">
        <f>'Fixed Charges'!C16</f>
        <v>8.73</v>
      </c>
      <c r="E15" s="242">
        <f t="shared" si="0"/>
        <v>1.7400000000000002</v>
      </c>
      <c r="F15" s="234"/>
      <c r="G15" s="241">
        <v>12</v>
      </c>
      <c r="H15" s="239" t="s">
        <v>15</v>
      </c>
      <c r="I15" s="239">
        <f>'[2]Approved MTRMY Fixed Charges'!C16</f>
        <v>0.72</v>
      </c>
      <c r="J15" s="318">
        <f>'Fixed Charges'!D16</f>
        <v>0.57999999999999996</v>
      </c>
      <c r="K15" s="242">
        <f t="shared" si="1"/>
        <v>-0.14000000000000001</v>
      </c>
      <c r="L15" s="234"/>
      <c r="M15" s="241">
        <v>12</v>
      </c>
      <c r="N15" s="239" t="s">
        <v>15</v>
      </c>
      <c r="O15" s="242">
        <f>'[2]Approved MTRMY Fixed Charges'!D16</f>
        <v>0.65</v>
      </c>
      <c r="P15" s="242">
        <f>'Fixed Charges'!E16</f>
        <v>0.89</v>
      </c>
      <c r="Q15" s="242">
        <f t="shared" si="2"/>
        <v>0.24</v>
      </c>
      <c r="S15" s="241">
        <v>12</v>
      </c>
      <c r="T15" s="239" t="s">
        <v>15</v>
      </c>
      <c r="U15" s="243">
        <f>'[2]Approved MTRMY Fixed Charges'!E16</f>
        <v>0.21</v>
      </c>
      <c r="V15" s="242">
        <f ca="1">'Fixed Charges'!F16</f>
        <v>0.27</v>
      </c>
      <c r="W15" s="242">
        <f t="shared" ca="1" si="3"/>
        <v>6.0000000000000026E-2</v>
      </c>
      <c r="X15" s="242"/>
      <c r="Z15" s="241">
        <v>12</v>
      </c>
      <c r="AA15" s="239" t="s">
        <v>15</v>
      </c>
      <c r="AB15" s="242">
        <f>'[2]Approved MTRMY Fixed Charges'!G16</f>
        <v>1.1200000000000001</v>
      </c>
      <c r="AC15" s="242">
        <f>'Fixed Charges'!G16</f>
        <v>1.97</v>
      </c>
      <c r="AD15" s="242">
        <f t="shared" si="4"/>
        <v>0.84999999999999987</v>
      </c>
      <c r="AE15" s="234"/>
      <c r="AF15" s="241">
        <v>12</v>
      </c>
      <c r="AG15" s="239" t="s">
        <v>15</v>
      </c>
      <c r="AH15" s="239">
        <v>0.03</v>
      </c>
      <c r="AI15" s="234">
        <f>'F8-NTI'!B15</f>
        <v>0.02</v>
      </c>
      <c r="AJ15" s="239">
        <f t="shared" si="5"/>
        <v>-9.9999999999999985E-3</v>
      </c>
      <c r="AK15" s="234">
        <f t="shared" si="6"/>
        <v>9.6600000000000019</v>
      </c>
      <c r="AL15" s="241">
        <v>12</v>
      </c>
      <c r="AM15" s="239" t="s">
        <v>15</v>
      </c>
      <c r="AN15" s="242">
        <v>9.66</v>
      </c>
      <c r="AO15" s="242">
        <f ca="1">'Fixed Charges'!I16</f>
        <v>12.420000000000002</v>
      </c>
      <c r="AP15" s="242">
        <f t="shared" ca="1" si="7"/>
        <v>2.7600000000000016</v>
      </c>
      <c r="AQ15" s="242"/>
      <c r="AR15" s="242">
        <f t="shared" ca="1" si="13"/>
        <v>12.420000000000002</v>
      </c>
      <c r="AS15" s="242">
        <f t="shared" si="14"/>
        <v>9.66</v>
      </c>
      <c r="AT15" s="234"/>
      <c r="AU15" s="245"/>
      <c r="AV15" s="239" t="s">
        <v>19</v>
      </c>
      <c r="AW15" s="246">
        <f>AW12+AW13+AW14</f>
        <v>6712.5999999999995</v>
      </c>
      <c r="AX15" s="246">
        <f t="shared" ref="AX15:AY15" ca="1" si="16">AX12+AX13+AX14</f>
        <v>8319.73</v>
      </c>
      <c r="AY15" s="246">
        <f t="shared" ca="1" si="16"/>
        <v>1607.1300000000003</v>
      </c>
      <c r="BA15" s="239"/>
      <c r="BB15" s="143" t="s">
        <v>63</v>
      </c>
      <c r="BC15" s="246">
        <f t="shared" ca="1" si="11"/>
        <v>8319.73</v>
      </c>
      <c r="BD15" s="246">
        <f t="shared" ca="1" si="12"/>
        <v>1607.1300000000003</v>
      </c>
      <c r="BE15" s="246">
        <f ca="1">AX53</f>
        <v>8784.06</v>
      </c>
      <c r="BH15" s="364"/>
      <c r="BI15" s="364"/>
      <c r="BJ15" s="374"/>
    </row>
    <row r="16" spans="1:72" x14ac:dyDescent="0.3">
      <c r="A16" s="241">
        <v>13</v>
      </c>
      <c r="B16" s="239" t="s">
        <v>16</v>
      </c>
      <c r="C16" s="239">
        <f>'[2]Approved MTRMY Fixed Charges'!F17</f>
        <v>33.54</v>
      </c>
      <c r="D16" s="242">
        <f>'Fixed Charges'!C17</f>
        <v>53.61</v>
      </c>
      <c r="E16" s="242">
        <f t="shared" si="0"/>
        <v>20.07</v>
      </c>
      <c r="F16" s="234"/>
      <c r="G16" s="241">
        <v>13</v>
      </c>
      <c r="H16" s="239" t="s">
        <v>16</v>
      </c>
      <c r="I16" s="239">
        <f>'[2]Approved MTRMY Fixed Charges'!C17</f>
        <v>20.11</v>
      </c>
      <c r="J16" s="318">
        <f>'Fixed Charges'!D17</f>
        <v>11.14</v>
      </c>
      <c r="K16" s="242">
        <f t="shared" si="1"/>
        <v>-8.9699999999999989</v>
      </c>
      <c r="L16" s="234"/>
      <c r="M16" s="241">
        <v>13</v>
      </c>
      <c r="N16" s="239" t="s">
        <v>16</v>
      </c>
      <c r="O16" s="242">
        <f>'[2]Approved MTRMY Fixed Charges'!D17</f>
        <v>11.1</v>
      </c>
      <c r="P16" s="242">
        <f>'Fixed Charges'!E17</f>
        <v>15.59</v>
      </c>
      <c r="Q16" s="242">
        <f t="shared" si="2"/>
        <v>4.49</v>
      </c>
      <c r="S16" s="241">
        <v>13</v>
      </c>
      <c r="T16" s="239" t="s">
        <v>16</v>
      </c>
      <c r="U16" s="243">
        <f>'[2]Approved MTRMY Fixed Charges'!E17</f>
        <v>2.12</v>
      </c>
      <c r="V16" s="242">
        <f ca="1">'Fixed Charges'!F17</f>
        <v>2.8</v>
      </c>
      <c r="W16" s="242">
        <f t="shared" ca="1" si="3"/>
        <v>0.67999999999999972</v>
      </c>
      <c r="X16" s="242"/>
      <c r="Z16" s="241">
        <v>13</v>
      </c>
      <c r="AA16" s="239" t="s">
        <v>16</v>
      </c>
      <c r="AB16" s="242">
        <f>'[2]Approved MTRMY Fixed Charges'!G17</f>
        <v>23.83</v>
      </c>
      <c r="AC16" s="242">
        <f>'Fixed Charges'!G17</f>
        <v>43.03</v>
      </c>
      <c r="AD16" s="242">
        <f t="shared" si="4"/>
        <v>19.200000000000003</v>
      </c>
      <c r="AE16" s="234"/>
      <c r="AF16" s="241">
        <v>13</v>
      </c>
      <c r="AG16" s="239" t="s">
        <v>16</v>
      </c>
      <c r="AH16" s="239">
        <v>0.28999999999999998</v>
      </c>
      <c r="AI16" s="234">
        <f>'F8-NTI'!B16</f>
        <v>0.31</v>
      </c>
      <c r="AJ16" s="239">
        <f t="shared" si="5"/>
        <v>2.0000000000000018E-2</v>
      </c>
      <c r="AK16" s="234">
        <f t="shared" si="6"/>
        <v>90.41</v>
      </c>
      <c r="AL16" s="241">
        <v>13</v>
      </c>
      <c r="AM16" s="239" t="s">
        <v>16</v>
      </c>
      <c r="AN16" s="242">
        <v>90.41</v>
      </c>
      <c r="AO16" s="242">
        <f ca="1">'Fixed Charges'!I17</f>
        <v>125.86</v>
      </c>
      <c r="AP16" s="242">
        <f t="shared" ca="1" si="7"/>
        <v>35.450000000000003</v>
      </c>
      <c r="AQ16" s="242"/>
      <c r="AR16" s="242">
        <f t="shared" ca="1" si="13"/>
        <v>125.86</v>
      </c>
      <c r="AS16" s="242">
        <f t="shared" si="14"/>
        <v>90.41</v>
      </c>
      <c r="AT16" s="234"/>
      <c r="AU16" s="245"/>
      <c r="AV16" s="239"/>
      <c r="AW16" s="242"/>
      <c r="AX16" s="242"/>
      <c r="AY16" s="242"/>
      <c r="BG16" s="19" t="s">
        <v>4</v>
      </c>
      <c r="BI16" s="19" t="s">
        <v>5</v>
      </c>
      <c r="BJ16" s="374"/>
      <c r="BK16" s="19" t="s">
        <v>6</v>
      </c>
      <c r="BM16" s="19" t="s">
        <v>7</v>
      </c>
      <c r="BO16" s="19" t="s">
        <v>8</v>
      </c>
      <c r="BQ16" s="19" t="s">
        <v>9</v>
      </c>
      <c r="BS16" s="19" t="s">
        <v>10</v>
      </c>
    </row>
    <row r="17" spans="1:72" x14ac:dyDescent="0.3">
      <c r="A17" s="241">
        <v>14</v>
      </c>
      <c r="B17" s="239" t="s">
        <v>17</v>
      </c>
      <c r="C17" s="239">
        <f>'[2]Approved MTRMY Fixed Charges'!F18</f>
        <v>33.68</v>
      </c>
      <c r="D17" s="242">
        <f>'Fixed Charges'!C18</f>
        <v>54.1</v>
      </c>
      <c r="E17" s="242">
        <f t="shared" si="0"/>
        <v>20.420000000000002</v>
      </c>
      <c r="F17" s="234"/>
      <c r="G17" s="241">
        <v>14</v>
      </c>
      <c r="H17" s="239" t="s">
        <v>17</v>
      </c>
      <c r="I17" s="239">
        <f>'[2]Approved MTRMY Fixed Charges'!C18</f>
        <v>51.31</v>
      </c>
      <c r="J17" s="318">
        <f>'Fixed Charges'!D18</f>
        <v>27.02</v>
      </c>
      <c r="K17" s="242">
        <f t="shared" si="1"/>
        <v>-24.290000000000003</v>
      </c>
      <c r="L17" s="234"/>
      <c r="M17" s="241">
        <v>14</v>
      </c>
      <c r="N17" s="239" t="s">
        <v>17</v>
      </c>
      <c r="O17" s="242">
        <f>'[2]Approved MTRMY Fixed Charges'!D18</f>
        <v>46.89</v>
      </c>
      <c r="P17" s="242">
        <f>'Fixed Charges'!E18</f>
        <v>52.07</v>
      </c>
      <c r="Q17" s="242">
        <f t="shared" si="2"/>
        <v>5.18</v>
      </c>
      <c r="S17" s="241">
        <v>14</v>
      </c>
      <c r="T17" s="239" t="s">
        <v>17</v>
      </c>
      <c r="U17" s="243">
        <f>'[2]Approved MTRMY Fixed Charges'!E18</f>
        <v>4.4400000000000004</v>
      </c>
      <c r="V17" s="242">
        <f ca="1">'Fixed Charges'!F18</f>
        <v>5.25</v>
      </c>
      <c r="W17" s="242">
        <f t="shared" ca="1" si="3"/>
        <v>0.80999999999999961</v>
      </c>
      <c r="X17" s="242"/>
      <c r="Z17" s="241">
        <v>14</v>
      </c>
      <c r="AA17" s="239" t="s">
        <v>17</v>
      </c>
      <c r="AB17" s="242">
        <f>'[2]Approved MTRMY Fixed Charges'!G18</f>
        <v>61.95</v>
      </c>
      <c r="AC17" s="242">
        <f>'Fixed Charges'!G18</f>
        <v>101.87</v>
      </c>
      <c r="AD17" s="242">
        <f t="shared" si="4"/>
        <v>39.92</v>
      </c>
      <c r="AE17" s="234"/>
      <c r="AF17" s="241">
        <v>14</v>
      </c>
      <c r="AG17" s="239" t="s">
        <v>17</v>
      </c>
      <c r="AH17" s="239">
        <v>0.17</v>
      </c>
      <c r="AI17" s="234">
        <f>'F8-NTI'!B17</f>
        <v>0.31</v>
      </c>
      <c r="AJ17" s="239">
        <f t="shared" si="5"/>
        <v>0.13999999999999999</v>
      </c>
      <c r="AK17" s="234">
        <f t="shared" si="6"/>
        <v>198.1</v>
      </c>
      <c r="AL17" s="241">
        <v>14</v>
      </c>
      <c r="AM17" s="239" t="s">
        <v>17</v>
      </c>
      <c r="AN17" s="242">
        <v>198.1</v>
      </c>
      <c r="AO17" s="242">
        <f ca="1">'Fixed Charges'!I18</f>
        <v>240</v>
      </c>
      <c r="AP17" s="242">
        <f t="shared" ca="1" si="7"/>
        <v>41.900000000000006</v>
      </c>
      <c r="AQ17" s="242"/>
      <c r="AR17" s="242">
        <f t="shared" ca="1" si="13"/>
        <v>240</v>
      </c>
      <c r="AS17" s="242">
        <f t="shared" si="14"/>
        <v>198.1</v>
      </c>
      <c r="AT17" s="234"/>
      <c r="AU17" s="245"/>
      <c r="AV17" s="239"/>
      <c r="AW17" s="242"/>
      <c r="AX17" s="242"/>
      <c r="AY17" s="242"/>
      <c r="BG17" s="19">
        <v>4.2922779580382473</v>
      </c>
      <c r="BH17" s="19">
        <v>4.0704097238843682</v>
      </c>
      <c r="BI17" s="19">
        <v>4.1407803943780621</v>
      </c>
      <c r="BJ17" s="374">
        <v>3.8176613395378198</v>
      </c>
      <c r="BK17" s="19">
        <v>3.6204306823707548</v>
      </c>
      <c r="BL17" s="19">
        <v>3.4556144387349055</v>
      </c>
      <c r="BM17" s="19">
        <v>4.9631886959755835</v>
      </c>
      <c r="BN17" s="19">
        <v>8.5318703971259708</v>
      </c>
      <c r="BO17" s="19">
        <v>3.8396985825793775</v>
      </c>
      <c r="BP17" s="19">
        <v>3.6999341944979713</v>
      </c>
      <c r="BQ17" s="19">
        <v>3.6132254714078011</v>
      </c>
      <c r="BR17" s="19">
        <v>3.750291239709846</v>
      </c>
      <c r="BS17" s="19">
        <v>3.8069786769818581</v>
      </c>
      <c r="BT17" s="19">
        <v>3.9580123692356808</v>
      </c>
    </row>
    <row r="18" spans="1:72" x14ac:dyDescent="0.3">
      <c r="A18" s="241">
        <v>15</v>
      </c>
      <c r="B18" s="239" t="s">
        <v>18</v>
      </c>
      <c r="C18" s="239">
        <f>'[2]Approved MTRMY Fixed Charges'!F19</f>
        <v>38.549999999999997</v>
      </c>
      <c r="D18" s="242">
        <f>'Fixed Charges'!C19</f>
        <v>43.580000000000005</v>
      </c>
      <c r="E18" s="242">
        <f t="shared" si="0"/>
        <v>5.0300000000000082</v>
      </c>
      <c r="F18" s="234"/>
      <c r="G18" s="241">
        <v>15</v>
      </c>
      <c r="H18" s="239" t="s">
        <v>18</v>
      </c>
      <c r="I18" s="239">
        <f>'[2]Approved MTRMY Fixed Charges'!C19</f>
        <v>10.220000000000001</v>
      </c>
      <c r="J18" s="318">
        <f>'Fixed Charges'!D19</f>
        <v>9.14</v>
      </c>
      <c r="K18" s="242">
        <f t="shared" si="1"/>
        <v>-1.08</v>
      </c>
      <c r="L18" s="234"/>
      <c r="M18" s="241">
        <v>15</v>
      </c>
      <c r="N18" s="239" t="s">
        <v>18</v>
      </c>
      <c r="O18" s="242">
        <f>'[2]Approved MTRMY Fixed Charges'!D19</f>
        <v>19.21</v>
      </c>
      <c r="P18" s="242">
        <f>'Fixed Charges'!E19</f>
        <v>23.04</v>
      </c>
      <c r="Q18" s="242">
        <f t="shared" si="2"/>
        <v>3.8299999999999983</v>
      </c>
      <c r="S18" s="241">
        <v>15</v>
      </c>
      <c r="T18" s="239" t="s">
        <v>18</v>
      </c>
      <c r="U18" s="243">
        <f>'[2]Approved MTRMY Fixed Charges'!E19</f>
        <v>1.86</v>
      </c>
      <c r="V18" s="242">
        <f ca="1">'Fixed Charges'!F19</f>
        <v>2.21</v>
      </c>
      <c r="W18" s="242">
        <f t="shared" ca="1" si="3"/>
        <v>0.34999999999999987</v>
      </c>
      <c r="X18" s="242"/>
      <c r="Z18" s="241">
        <v>15</v>
      </c>
      <c r="AA18" s="239" t="s">
        <v>18</v>
      </c>
      <c r="AB18" s="242">
        <f>'[2]Approved MTRMY Fixed Charges'!G19</f>
        <v>16.989999999999998</v>
      </c>
      <c r="AC18" s="242">
        <f>'Fixed Charges'!G19</f>
        <v>29.16</v>
      </c>
      <c r="AD18" s="242">
        <f t="shared" si="4"/>
        <v>12.170000000000002</v>
      </c>
      <c r="AE18" s="234"/>
      <c r="AF18" s="241">
        <v>15</v>
      </c>
      <c r="AG18" s="239" t="s">
        <v>18</v>
      </c>
      <c r="AH18" s="239">
        <v>0.5</v>
      </c>
      <c r="AI18" s="234">
        <f>'F8-NTI'!B18</f>
        <v>0.24</v>
      </c>
      <c r="AJ18" s="239">
        <f t="shared" si="5"/>
        <v>-0.26</v>
      </c>
      <c r="AK18" s="234">
        <f t="shared" si="6"/>
        <v>86.329999999999984</v>
      </c>
      <c r="AL18" s="241">
        <v>15</v>
      </c>
      <c r="AM18" s="239" t="s">
        <v>18</v>
      </c>
      <c r="AN18" s="242">
        <v>86.32</v>
      </c>
      <c r="AO18" s="242">
        <f ca="1">'Fixed Charges'!I19</f>
        <v>106.89</v>
      </c>
      <c r="AP18" s="242">
        <f t="shared" ca="1" si="7"/>
        <v>20.570000000000007</v>
      </c>
      <c r="AQ18" s="242"/>
      <c r="AR18" s="242">
        <f t="shared" ca="1" si="13"/>
        <v>106.89</v>
      </c>
      <c r="AS18" s="242">
        <f t="shared" si="14"/>
        <v>86.32</v>
      </c>
      <c r="AT18" s="234"/>
      <c r="AU18" s="245"/>
      <c r="AV18" s="239"/>
      <c r="AW18" s="242"/>
      <c r="AX18" s="242"/>
      <c r="AY18" s="242"/>
      <c r="BG18" s="19">
        <v>2568.9506000000001</v>
      </c>
      <c r="BH18" s="19">
        <v>2568.9506000000001</v>
      </c>
      <c r="BI18" s="19">
        <v>2903.234599999997</v>
      </c>
      <c r="BJ18" s="374">
        <v>2903.234599999997</v>
      </c>
      <c r="BK18" s="19">
        <v>5288.9838014172001</v>
      </c>
      <c r="BL18" s="19">
        <v>5288.9838014172001</v>
      </c>
      <c r="BM18" s="19">
        <v>16.143190000000001</v>
      </c>
      <c r="BN18" s="19">
        <v>16.143190000000001</v>
      </c>
      <c r="BO18" s="19">
        <v>2770.8157864080608</v>
      </c>
      <c r="BP18" s="19">
        <v>2770.8157864080608</v>
      </c>
      <c r="BQ18" s="19">
        <v>3262.15894386122</v>
      </c>
      <c r="BR18" s="19">
        <v>3262.15894386122</v>
      </c>
      <c r="BS18" s="19">
        <v>4801.3670000000002</v>
      </c>
      <c r="BT18" s="19">
        <v>4801.3670000000002</v>
      </c>
    </row>
    <row r="19" spans="1:72" s="142" customFormat="1" x14ac:dyDescent="0.3">
      <c r="A19" s="247" t="s">
        <v>19</v>
      </c>
      <c r="B19" s="247" t="s">
        <v>19</v>
      </c>
      <c r="C19" s="143">
        <f>SUM(C4:C18)</f>
        <v>1869.03</v>
      </c>
      <c r="D19" s="246">
        <f t="shared" ref="D19:E19" si="17">SUM(D4:D18)</f>
        <v>2700.87</v>
      </c>
      <c r="E19" s="246">
        <f t="shared" si="17"/>
        <v>831.84</v>
      </c>
      <c r="F19" s="270"/>
      <c r="G19" s="247" t="s">
        <v>19</v>
      </c>
      <c r="H19" s="247" t="s">
        <v>19</v>
      </c>
      <c r="I19" s="143">
        <f>SUM(I4:I18)</f>
        <v>986.73</v>
      </c>
      <c r="J19" s="319">
        <f t="shared" ref="J19:K19" si="18">SUM(J4:J18)</f>
        <v>774.45999999999992</v>
      </c>
      <c r="K19" s="246">
        <f t="shared" si="18"/>
        <v>-212.26999999999998</v>
      </c>
      <c r="L19" s="270"/>
      <c r="M19" s="247"/>
      <c r="N19" s="247" t="s">
        <v>19</v>
      </c>
      <c r="O19" s="246">
        <f>SUM(O4:O18)</f>
        <v>828.92</v>
      </c>
      <c r="P19" s="246">
        <f t="shared" ref="P19:Q19" si="19">SUM(P4:P18)</f>
        <v>872.2</v>
      </c>
      <c r="Q19" s="246">
        <f t="shared" si="19"/>
        <v>43.280000000000015</v>
      </c>
      <c r="S19" s="247"/>
      <c r="T19" s="247" t="s">
        <v>19</v>
      </c>
      <c r="U19" s="246">
        <f>SUM(U4:U18)</f>
        <v>291.25</v>
      </c>
      <c r="V19" s="246">
        <f t="shared" ref="V19:W19" ca="1" si="20">SUM(V4:V18)</f>
        <v>336.06</v>
      </c>
      <c r="W19" s="246">
        <f t="shared" ca="1" si="20"/>
        <v>44.809999999999995</v>
      </c>
      <c r="X19" s="246"/>
      <c r="Z19" s="247"/>
      <c r="AA19" s="247" t="s">
        <v>19</v>
      </c>
      <c r="AB19" s="246">
        <f>SUM(AB4:AB18)</f>
        <v>1444.9799999999996</v>
      </c>
      <c r="AC19" s="246">
        <f t="shared" ref="AC19:AD19" si="21">SUM(AC4:AC18)</f>
        <v>2009.55</v>
      </c>
      <c r="AD19" s="246">
        <f t="shared" si="21"/>
        <v>564.57000000000005</v>
      </c>
      <c r="AE19" s="270">
        <f>AC19-AB19</f>
        <v>564.57000000000039</v>
      </c>
      <c r="AF19" s="247"/>
      <c r="AG19" s="247" t="s">
        <v>19</v>
      </c>
      <c r="AH19" s="143">
        <f>SUM(AH4:AH18)</f>
        <v>109.51000000000002</v>
      </c>
      <c r="AI19" s="255">
        <f>SUM(AI4:AI18)</f>
        <v>78.389999999999986</v>
      </c>
      <c r="AJ19" s="143">
        <f t="shared" si="5"/>
        <v>-31.120000000000033</v>
      </c>
      <c r="AK19" s="270">
        <f>SUM(AK4:AK18)</f>
        <v>5311.4000000000005</v>
      </c>
      <c r="AL19" s="247"/>
      <c r="AM19" s="247" t="s">
        <v>19</v>
      </c>
      <c r="AN19" s="246">
        <f>SUM(AN4:AN18)</f>
        <v>5311.4000000000005</v>
      </c>
      <c r="AO19" s="246">
        <f t="shared" ref="AO19:AP19" ca="1" si="22">SUM(AO4:AO18)</f>
        <v>6614.75</v>
      </c>
      <c r="AP19" s="246">
        <f t="shared" ca="1" si="22"/>
        <v>1303.3499999999999</v>
      </c>
      <c r="AQ19" s="246"/>
      <c r="AR19" s="246">
        <f ca="1">SUM(AR4:AR18)</f>
        <v>6056.7599835294122</v>
      </c>
      <c r="AS19" s="246">
        <f>SUM(AS4:AS18)</f>
        <v>4874.4265294117649</v>
      </c>
      <c r="AT19" s="270">
        <f ca="1">AR19-AO19</f>
        <v>-557.99001647058776</v>
      </c>
      <c r="AU19" s="271"/>
      <c r="AV19" s="143"/>
      <c r="AW19" s="246"/>
      <c r="AX19" s="246"/>
      <c r="AY19" s="246"/>
      <c r="BG19" s="20">
        <v>1102.6650035669131</v>
      </c>
      <c r="BH19" s="20">
        <v>1045.6681502418583</v>
      </c>
      <c r="BI19" s="20">
        <v>1202.1656911960022</v>
      </c>
      <c r="BJ19" s="375">
        <v>1108.3566492028535</v>
      </c>
      <c r="BK19" s="20">
        <v>1914.8399233212742</v>
      </c>
      <c r="BL19" s="20">
        <v>1827.6688790412304</v>
      </c>
      <c r="BM19" s="20">
        <v>8.0121698124986089</v>
      </c>
      <c r="BN19" s="20">
        <v>13.773160487618</v>
      </c>
      <c r="BO19" s="20">
        <v>1063.9097447659594</v>
      </c>
      <c r="BP19" s="20">
        <v>1025.1836074785972</v>
      </c>
      <c r="BQ19" s="20">
        <v>1178.6915787740131</v>
      </c>
      <c r="BR19" s="20">
        <v>1223.4046109703856</v>
      </c>
      <c r="BS19" s="20">
        <v>1827.8701789364354</v>
      </c>
      <c r="BT19" s="20">
        <v>1900.3869975240013</v>
      </c>
    </row>
    <row r="20" spans="1:72" x14ac:dyDescent="0.3">
      <c r="C20" s="379"/>
      <c r="D20" s="379"/>
      <c r="E20" s="379"/>
      <c r="I20" s="379"/>
      <c r="J20" s="379"/>
      <c r="K20" s="379"/>
      <c r="O20" s="379"/>
      <c r="P20" s="379"/>
      <c r="Q20" s="379"/>
      <c r="U20" s="379"/>
      <c r="V20" s="379"/>
      <c r="W20" s="379"/>
      <c r="AB20" s="380"/>
      <c r="AC20" s="380"/>
      <c r="AD20" s="380"/>
      <c r="AH20" s="379"/>
      <c r="AI20" s="379"/>
      <c r="AJ20" s="379"/>
      <c r="AN20" s="379"/>
      <c r="AO20" s="379"/>
      <c r="AP20" s="379"/>
      <c r="AR20" s="234">
        <f ca="1">AR19-AO19</f>
        <v>-557.99001647058776</v>
      </c>
      <c r="AS20" s="234">
        <f>AS19-AN19</f>
        <v>-436.97347058823561</v>
      </c>
      <c r="AU20" s="241"/>
      <c r="AV20" s="239"/>
      <c r="AW20" s="242"/>
      <c r="AX20" s="242"/>
      <c r="AY20" s="242"/>
      <c r="BG20" s="19">
        <v>1434.6450035669131</v>
      </c>
      <c r="BH20" s="19">
        <v>1524.2881502418581</v>
      </c>
      <c r="BI20" s="19">
        <v>1592.8356911960022</v>
      </c>
      <c r="BJ20" s="374">
        <v>1592.5366492028534</v>
      </c>
      <c r="BK20" s="19">
        <v>3120.6399233212742</v>
      </c>
      <c r="BL20" s="19">
        <v>3118.0788790412307</v>
      </c>
      <c r="BM20" s="19">
        <v>27.642169812498608</v>
      </c>
      <c r="BN20" s="19">
        <v>113.31316048761801</v>
      </c>
      <c r="BO20" s="19">
        <v>1452.8297447659595</v>
      </c>
      <c r="BP20" s="19">
        <v>1454.1936074785972</v>
      </c>
      <c r="BQ20" s="19">
        <v>1790.3715787740132</v>
      </c>
      <c r="BR20" s="19">
        <v>1993.2446109703856</v>
      </c>
      <c r="BS20" s="19">
        <v>3116.0401789364355</v>
      </c>
      <c r="BT20" s="19">
        <v>3521.7569975240012</v>
      </c>
    </row>
    <row r="21" spans="1:72" x14ac:dyDescent="0.3">
      <c r="B21" s="233" t="s">
        <v>391</v>
      </c>
      <c r="C21" s="231"/>
      <c r="D21" s="231"/>
      <c r="G21" s="231" t="s">
        <v>388</v>
      </c>
      <c r="H21" s="231"/>
      <c r="M21" s="231"/>
      <c r="N21" s="231"/>
      <c r="O21" s="248" t="s">
        <v>389</v>
      </c>
      <c r="P21" s="231"/>
      <c r="Q21" s="231"/>
      <c r="T21" s="233" t="s">
        <v>390</v>
      </c>
      <c r="U21" s="231"/>
      <c r="V21" s="231"/>
      <c r="W21" s="231"/>
      <c r="X21" s="231"/>
      <c r="AA21" s="233" t="s">
        <v>392</v>
      </c>
      <c r="AB21" s="231"/>
      <c r="AC21" s="231"/>
      <c r="AH21" s="239" t="s">
        <v>401</v>
      </c>
      <c r="AI21" s="239"/>
      <c r="AJ21" s="317"/>
      <c r="AN21" s="231"/>
      <c r="AR21" s="234">
        <f ca="1">AR20-AS20</f>
        <v>-121.01654588235215</v>
      </c>
      <c r="AU21" s="249"/>
      <c r="AV21" s="250"/>
      <c r="AW21" s="251"/>
      <c r="AX21" s="251"/>
      <c r="AY21" s="251"/>
    </row>
    <row r="22" spans="1:72" x14ac:dyDescent="0.3">
      <c r="A22" s="235" t="s">
        <v>175</v>
      </c>
      <c r="B22" s="237"/>
      <c r="G22" s="235" t="s">
        <v>175</v>
      </c>
      <c r="M22" s="235" t="s">
        <v>175</v>
      </c>
      <c r="O22" s="236"/>
      <c r="S22" s="235" t="s">
        <v>175</v>
      </c>
      <c r="T22" s="237"/>
      <c r="Z22" s="235" t="s">
        <v>175</v>
      </c>
      <c r="AA22" s="237"/>
      <c r="AH22" s="239" t="s">
        <v>175</v>
      </c>
      <c r="AI22" s="239"/>
      <c r="AJ22" s="317"/>
      <c r="AL22" s="235" t="s">
        <v>175</v>
      </c>
      <c r="AU22" s="235" t="s">
        <v>175</v>
      </c>
    </row>
    <row r="23" spans="1:72" x14ac:dyDescent="0.3">
      <c r="A23" s="238" t="s">
        <v>1</v>
      </c>
      <c r="B23" s="238" t="s">
        <v>2</v>
      </c>
      <c r="C23" s="143" t="s">
        <v>196</v>
      </c>
      <c r="D23" s="143" t="s">
        <v>334</v>
      </c>
      <c r="E23" s="320" t="s">
        <v>396</v>
      </c>
      <c r="F23" s="142"/>
      <c r="G23" s="244" t="s">
        <v>1</v>
      </c>
      <c r="H23" s="238" t="s">
        <v>2</v>
      </c>
      <c r="I23" s="143" t="s">
        <v>196</v>
      </c>
      <c r="J23" s="143" t="s">
        <v>334</v>
      </c>
      <c r="K23" s="320" t="s">
        <v>396</v>
      </c>
      <c r="L23" s="142"/>
      <c r="M23" s="244" t="s">
        <v>1</v>
      </c>
      <c r="N23" s="238" t="s">
        <v>2</v>
      </c>
      <c r="O23" s="143" t="s">
        <v>196</v>
      </c>
      <c r="P23" s="143" t="s">
        <v>334</v>
      </c>
      <c r="Q23" s="143" t="s">
        <v>396</v>
      </c>
      <c r="S23" s="238" t="s">
        <v>1</v>
      </c>
      <c r="T23" s="238" t="s">
        <v>2</v>
      </c>
      <c r="U23" s="143" t="s">
        <v>196</v>
      </c>
      <c r="V23" s="143" t="s">
        <v>334</v>
      </c>
      <c r="W23" s="143" t="s">
        <v>396</v>
      </c>
      <c r="X23" s="143"/>
      <c r="Z23" s="238" t="s">
        <v>1</v>
      </c>
      <c r="AA23" s="238" t="s">
        <v>2</v>
      </c>
      <c r="AB23" s="143" t="s">
        <v>196</v>
      </c>
      <c r="AC23" s="143" t="s">
        <v>334</v>
      </c>
      <c r="AD23" s="143" t="s">
        <v>396</v>
      </c>
      <c r="AE23" s="142"/>
      <c r="AF23" s="142"/>
      <c r="AH23" s="239" t="s">
        <v>196</v>
      </c>
      <c r="AI23" s="239" t="s">
        <v>395</v>
      </c>
      <c r="AJ23" s="317" t="s">
        <v>402</v>
      </c>
      <c r="AL23" s="244" t="s">
        <v>1</v>
      </c>
      <c r="AM23" s="238" t="s">
        <v>2</v>
      </c>
      <c r="AN23" s="143" t="s">
        <v>196</v>
      </c>
      <c r="AO23" s="143" t="s">
        <v>334</v>
      </c>
      <c r="AP23" s="143" t="s">
        <v>396</v>
      </c>
      <c r="AQ23" s="142"/>
      <c r="AR23" s="142"/>
      <c r="AS23" s="142"/>
      <c r="AT23" s="142"/>
      <c r="AU23" s="244" t="s">
        <v>231</v>
      </c>
      <c r="AV23" s="238" t="s">
        <v>398</v>
      </c>
      <c r="AW23" s="143" t="s">
        <v>196</v>
      </c>
      <c r="AX23" s="143" t="s">
        <v>334</v>
      </c>
      <c r="AY23" s="143" t="s">
        <v>396</v>
      </c>
      <c r="BG23" s="19">
        <f>BG19*10^7</f>
        <v>11026650035.669132</v>
      </c>
      <c r="BH23" s="19">
        <f t="shared" ref="BH23:BT23" si="23">BH19*10^7</f>
        <v>10456681502.418583</v>
      </c>
      <c r="BI23" s="19">
        <f t="shared" si="23"/>
        <v>12021656911.960022</v>
      </c>
      <c r="BJ23" s="19">
        <f t="shared" si="23"/>
        <v>11083566492.028536</v>
      </c>
      <c r="BK23" s="19">
        <f t="shared" si="23"/>
        <v>19148399233.212742</v>
      </c>
      <c r="BL23" s="19">
        <f t="shared" si="23"/>
        <v>18276688790.412304</v>
      </c>
      <c r="BM23" s="19">
        <f t="shared" si="23"/>
        <v>80121698.124986082</v>
      </c>
      <c r="BN23" s="19">
        <f t="shared" si="23"/>
        <v>137731604.87617999</v>
      </c>
      <c r="BO23" s="19">
        <f t="shared" si="23"/>
        <v>10639097447.659594</v>
      </c>
      <c r="BP23" s="19">
        <f t="shared" si="23"/>
        <v>10251836074.785973</v>
      </c>
      <c r="BQ23" s="19">
        <f t="shared" si="23"/>
        <v>11786915787.740131</v>
      </c>
      <c r="BR23" s="19">
        <f t="shared" si="23"/>
        <v>12234046109.703857</v>
      </c>
      <c r="BS23" s="19">
        <f t="shared" si="23"/>
        <v>18278701789.364353</v>
      </c>
      <c r="BT23" s="19">
        <f t="shared" si="23"/>
        <v>19003869975.240013</v>
      </c>
    </row>
    <row r="24" spans="1:72" x14ac:dyDescent="0.3">
      <c r="A24" s="241">
        <v>1</v>
      </c>
      <c r="B24" s="239" t="s">
        <v>4</v>
      </c>
      <c r="C24" s="239">
        <f>'[2]Approved MTRMY Fixed Charges'!F29</f>
        <v>218.71</v>
      </c>
      <c r="D24" s="242">
        <f>'Fixed Charges'!C30</f>
        <v>299.98</v>
      </c>
      <c r="E24" s="318">
        <f>D24-C24</f>
        <v>81.27000000000001</v>
      </c>
      <c r="F24" s="234"/>
      <c r="G24" s="245">
        <v>1</v>
      </c>
      <c r="H24" s="239" t="s">
        <v>4</v>
      </c>
      <c r="I24" s="239">
        <f>'[2]Approved MTRMY Fixed Charges'!C29</f>
        <v>1.44</v>
      </c>
      <c r="J24" s="242">
        <f>'Fixed Charges'!D30</f>
        <v>30.5</v>
      </c>
      <c r="K24" s="318">
        <f>J24-I24</f>
        <v>29.06</v>
      </c>
      <c r="L24" s="234"/>
      <c r="M24" s="245">
        <v>1</v>
      </c>
      <c r="N24" s="239" t="s">
        <v>4</v>
      </c>
      <c r="O24" s="242">
        <f>'[2]Approved MTRMY Fixed Charges'!D29</f>
        <v>0.38</v>
      </c>
      <c r="P24" s="242">
        <f>'Fixed Charges'!E30</f>
        <v>0</v>
      </c>
      <c r="Q24" s="242">
        <f>P24-O24</f>
        <v>-0.38</v>
      </c>
      <c r="S24" s="241">
        <v>1</v>
      </c>
      <c r="T24" s="239" t="s">
        <v>4</v>
      </c>
      <c r="U24" s="243">
        <f>'[2]Approved MTRMY Fixed Charges'!E29</f>
        <v>34.46</v>
      </c>
      <c r="V24" s="242">
        <f ca="1">'Fixed Charges'!F30</f>
        <v>36.28</v>
      </c>
      <c r="W24" s="242">
        <f ca="1">V24-U24</f>
        <v>1.8200000000000003</v>
      </c>
      <c r="X24" s="242"/>
      <c r="Z24" s="241">
        <v>1</v>
      </c>
      <c r="AA24" s="239" t="s">
        <v>4</v>
      </c>
      <c r="AB24" s="242">
        <f>'[2]Approved MTRMY Fixed Charges'!G29</f>
        <v>141.46</v>
      </c>
      <c r="AC24" s="242">
        <f>'Fixed Charges'!G30</f>
        <v>141.66</v>
      </c>
      <c r="AD24" s="242">
        <f>AC24-AB24</f>
        <v>0.19999999999998863</v>
      </c>
      <c r="AE24" s="234"/>
      <c r="AF24" s="234"/>
      <c r="AH24" s="239">
        <v>15.83</v>
      </c>
      <c r="AI24" s="252">
        <v>6.21</v>
      </c>
      <c r="AJ24" s="318">
        <f>AI24-AH24</f>
        <v>-9.620000000000001</v>
      </c>
      <c r="AK24" s="234"/>
      <c r="AL24" s="443">
        <v>1</v>
      </c>
      <c r="AM24" s="444" t="s">
        <v>4</v>
      </c>
      <c r="AN24" s="444">
        <v>380.62</v>
      </c>
      <c r="AO24" s="445">
        <f ca="1">'Fixed Charges'!I30</f>
        <v>499.34999999999997</v>
      </c>
      <c r="AP24" s="445">
        <f ca="1">AO24-AN24</f>
        <v>118.72999999999996</v>
      </c>
      <c r="AQ24" s="234"/>
      <c r="AR24" s="234"/>
      <c r="AS24" s="234"/>
      <c r="AT24" s="234"/>
      <c r="AU24" s="245">
        <v>1</v>
      </c>
      <c r="AV24" s="239" t="s">
        <v>197</v>
      </c>
      <c r="AW24" s="239" t="e">
        <f>I39</f>
        <v>#REF!</v>
      </c>
      <c r="AX24" s="239">
        <f>J39</f>
        <v>774.78</v>
      </c>
      <c r="AY24" s="242" t="e">
        <f>AX24-AW24</f>
        <v>#REF!</v>
      </c>
    </row>
    <row r="25" spans="1:72" x14ac:dyDescent="0.3">
      <c r="A25" s="241">
        <v>2</v>
      </c>
      <c r="B25" s="239" t="s">
        <v>5</v>
      </c>
      <c r="C25" s="239">
        <f>'[2]Approved MTRMY Fixed Charges'!F30</f>
        <v>218.59</v>
      </c>
      <c r="D25" s="242">
        <f>'Fixed Charges'!C31</f>
        <v>299.98</v>
      </c>
      <c r="E25" s="318">
        <f t="shared" ref="E25:E38" si="24">D25-C25</f>
        <v>81.390000000000015</v>
      </c>
      <c r="F25" s="234"/>
      <c r="G25" s="245">
        <v>2</v>
      </c>
      <c r="H25" s="239" t="s">
        <v>5</v>
      </c>
      <c r="I25" s="239">
        <f>'[2]Approved MTRMY Fixed Charges'!C30</f>
        <v>45.25</v>
      </c>
      <c r="J25" s="242">
        <f>'Fixed Charges'!D31</f>
        <v>22.63</v>
      </c>
      <c r="K25" s="318">
        <f t="shared" ref="K25:K38" si="25">J25-I25</f>
        <v>-22.62</v>
      </c>
      <c r="L25" s="234"/>
      <c r="M25" s="245">
        <v>2</v>
      </c>
      <c r="N25" s="239" t="s">
        <v>5</v>
      </c>
      <c r="O25" s="242">
        <f>'[2]Approved MTRMY Fixed Charges'!D30</f>
        <v>0</v>
      </c>
      <c r="P25" s="242">
        <f>'Fixed Charges'!E31</f>
        <v>0</v>
      </c>
      <c r="Q25" s="242">
        <f t="shared" ref="Q25:Q38" si="26">P25-O25</f>
        <v>0</v>
      </c>
      <c r="S25" s="241">
        <v>2</v>
      </c>
      <c r="T25" s="239" t="s">
        <v>5</v>
      </c>
      <c r="U25" s="243">
        <f>'[2]Approved MTRMY Fixed Charges'!E30</f>
        <v>33.700000000000003</v>
      </c>
      <c r="V25" s="242">
        <f ca="1">'Fixed Charges'!F31</f>
        <v>37.71</v>
      </c>
      <c r="W25" s="242">
        <f t="shared" ref="W25:W38" ca="1" si="27">V25-U25</f>
        <v>4.009999999999998</v>
      </c>
      <c r="X25" s="242"/>
      <c r="Z25" s="241">
        <v>2</v>
      </c>
      <c r="AA25" s="239" t="s">
        <v>5</v>
      </c>
      <c r="AB25" s="242">
        <f>'[2]Approved MTRMY Fixed Charges'!G30</f>
        <v>153.68</v>
      </c>
      <c r="AC25" s="242">
        <f>'Fixed Charges'!G31</f>
        <v>153.83000000000001</v>
      </c>
      <c r="AD25" s="242">
        <f t="shared" ref="AD25:AD38" si="28">AC25-AB25</f>
        <v>0.15000000000000568</v>
      </c>
      <c r="AE25" s="234"/>
      <c r="AF25" s="234"/>
      <c r="AH25" s="239">
        <v>8.8699999999999992</v>
      </c>
      <c r="AI25" s="252">
        <v>6.21</v>
      </c>
      <c r="AJ25" s="318">
        <f t="shared" ref="AJ25:AJ38" si="29">AI25-AH25</f>
        <v>-2.6599999999999993</v>
      </c>
      <c r="AK25" s="234"/>
      <c r="AL25" s="443">
        <v>2</v>
      </c>
      <c r="AM25" s="444" t="s">
        <v>5</v>
      </c>
      <c r="AN25" s="444">
        <v>442.36</v>
      </c>
      <c r="AO25" s="445">
        <f ca="1">'Fixed Charges'!I31</f>
        <v>505.08</v>
      </c>
      <c r="AP25" s="445">
        <f t="shared" ref="AP25:AP38" ca="1" si="30">AO25-AN25</f>
        <v>62.71999999999997</v>
      </c>
      <c r="AQ25" s="234"/>
      <c r="AR25" s="234"/>
      <c r="AS25" s="234"/>
      <c r="AT25" s="234"/>
      <c r="AU25" s="245">
        <v>2</v>
      </c>
      <c r="AV25" s="239" t="s">
        <v>198</v>
      </c>
      <c r="AW25" s="242">
        <f>O39</f>
        <v>765.81000000000017</v>
      </c>
      <c r="AX25" s="242">
        <f>P39</f>
        <v>821.10000000000014</v>
      </c>
      <c r="AY25" s="242">
        <f t="shared" ref="AY25:AY29" si="31">AX25-AW25</f>
        <v>55.289999999999964</v>
      </c>
      <c r="BG25" s="19" t="s">
        <v>441</v>
      </c>
    </row>
    <row r="26" spans="1:72" ht="39" customHeight="1" x14ac:dyDescent="0.3">
      <c r="A26" s="241">
        <v>3</v>
      </c>
      <c r="B26" s="239" t="s">
        <v>6</v>
      </c>
      <c r="C26" s="239">
        <f>'[2]Approved MTRMY Fixed Charges'!F31</f>
        <v>510.66</v>
      </c>
      <c r="D26" s="242">
        <f>'Fixed Charges'!C32</f>
        <v>564.87</v>
      </c>
      <c r="E26" s="318">
        <f t="shared" si="24"/>
        <v>54.20999999999998</v>
      </c>
      <c r="F26" s="234"/>
      <c r="G26" s="245">
        <v>3</v>
      </c>
      <c r="H26" s="239" t="s">
        <v>6</v>
      </c>
      <c r="I26" s="239">
        <f>'[2]Approved MTRMY Fixed Charges'!C31</f>
        <v>186.42</v>
      </c>
      <c r="J26" s="242">
        <f>'Fixed Charges'!D32</f>
        <v>174.82</v>
      </c>
      <c r="K26" s="318">
        <f t="shared" si="25"/>
        <v>-11.599999999999994</v>
      </c>
      <c r="L26" s="234"/>
      <c r="M26" s="245">
        <v>3</v>
      </c>
      <c r="N26" s="239" t="s">
        <v>6</v>
      </c>
      <c r="O26" s="242">
        <f>'[2]Approved MTRMY Fixed Charges'!D31</f>
        <v>223.03</v>
      </c>
      <c r="P26" s="242">
        <f>'Fixed Charges'!E32</f>
        <v>205.13</v>
      </c>
      <c r="Q26" s="242">
        <f t="shared" si="26"/>
        <v>-17.900000000000006</v>
      </c>
      <c r="S26" s="241">
        <v>3</v>
      </c>
      <c r="T26" s="239" t="s">
        <v>6</v>
      </c>
      <c r="U26" s="243">
        <f>'[2]Approved MTRMY Fixed Charges'!E31</f>
        <v>62.76</v>
      </c>
      <c r="V26" s="242">
        <f ca="1">'Fixed Charges'!F32</f>
        <v>62.57</v>
      </c>
      <c r="W26" s="242">
        <f t="shared" ca="1" si="27"/>
        <v>-0.18999999999999773</v>
      </c>
      <c r="X26" s="242"/>
      <c r="Z26" s="241">
        <v>3</v>
      </c>
      <c r="AA26" s="239" t="s">
        <v>6</v>
      </c>
      <c r="AB26" s="242">
        <f>'[2]Approved MTRMY Fixed Charges'!G31</f>
        <v>328.62</v>
      </c>
      <c r="AC26" s="242">
        <f>'Fixed Charges'!G32</f>
        <v>317.66000000000003</v>
      </c>
      <c r="AD26" s="242">
        <f t="shared" si="28"/>
        <v>-10.95999999999998</v>
      </c>
      <c r="AE26" s="234"/>
      <c r="AF26" s="234"/>
      <c r="AH26" s="239">
        <v>11.27</v>
      </c>
      <c r="AI26" s="252">
        <v>9.4700000000000006</v>
      </c>
      <c r="AJ26" s="318">
        <f t="shared" si="29"/>
        <v>-1.7999999999999989</v>
      </c>
      <c r="AK26" s="234"/>
      <c r="AL26" s="443">
        <v>3</v>
      </c>
      <c r="AM26" s="444" t="s">
        <v>6</v>
      </c>
      <c r="AN26" s="444">
        <v>1300.22</v>
      </c>
      <c r="AO26" s="445">
        <f ca="1">'Fixed Charges'!I32</f>
        <v>1311.3500000000001</v>
      </c>
      <c r="AP26" s="445">
        <f t="shared" ca="1" si="30"/>
        <v>11.130000000000109</v>
      </c>
      <c r="AQ26" s="234"/>
      <c r="AR26" s="234"/>
      <c r="AS26" s="234"/>
      <c r="AT26" s="234"/>
      <c r="AU26" s="245">
        <v>3</v>
      </c>
      <c r="AV26" s="239" t="s">
        <v>104</v>
      </c>
      <c r="AW26" s="242">
        <f>U39</f>
        <v>299.38</v>
      </c>
      <c r="AX26" s="242">
        <f ca="1">V39</f>
        <v>322.81000000000006</v>
      </c>
      <c r="AY26" s="242">
        <f t="shared" ca="1" si="31"/>
        <v>23.430000000000064</v>
      </c>
      <c r="BG26" s="10" t="s">
        <v>231</v>
      </c>
      <c r="BH26" s="10" t="s">
        <v>21</v>
      </c>
      <c r="BI26" s="103" t="s">
        <v>442</v>
      </c>
      <c r="BJ26" s="10" t="s">
        <v>443</v>
      </c>
      <c r="BK26" s="10" t="s">
        <v>396</v>
      </c>
    </row>
    <row r="27" spans="1:72" x14ac:dyDescent="0.3">
      <c r="A27" s="241">
        <v>4</v>
      </c>
      <c r="B27" s="239" t="s">
        <v>7</v>
      </c>
      <c r="C27" s="239"/>
      <c r="D27" s="242"/>
      <c r="E27" s="318"/>
      <c r="F27" s="234"/>
      <c r="G27" s="245">
        <v>4</v>
      </c>
      <c r="H27" s="239" t="s">
        <v>7</v>
      </c>
      <c r="I27" s="239" t="e">
        <f>'[2]Approved MTRMY Fixed Charges'!C32</f>
        <v>#REF!</v>
      </c>
      <c r="J27" s="242"/>
      <c r="K27" s="318" t="e">
        <f t="shared" si="25"/>
        <v>#REF!</v>
      </c>
      <c r="L27" s="234"/>
      <c r="M27" s="245">
        <v>4</v>
      </c>
      <c r="N27" s="239" t="s">
        <v>7</v>
      </c>
      <c r="O27" s="242"/>
      <c r="P27" s="242"/>
      <c r="Q27" s="242"/>
      <c r="S27" s="241">
        <v>4</v>
      </c>
      <c r="T27" s="239" t="s">
        <v>7</v>
      </c>
      <c r="U27" s="243"/>
      <c r="V27" s="242"/>
      <c r="W27" s="242"/>
      <c r="X27" s="242"/>
      <c r="Z27" s="241">
        <v>4</v>
      </c>
      <c r="AA27" s="239" t="s">
        <v>7</v>
      </c>
      <c r="AB27" s="242"/>
      <c r="AC27" s="242"/>
      <c r="AD27" s="242"/>
      <c r="AE27" s="234"/>
      <c r="AF27" s="234"/>
      <c r="AH27" s="239"/>
      <c r="AI27" s="252">
        <v>0</v>
      </c>
      <c r="AJ27" s="318">
        <f t="shared" si="29"/>
        <v>0</v>
      </c>
      <c r="AK27" s="234"/>
      <c r="AL27" s="443">
        <v>4</v>
      </c>
      <c r="AM27" s="444" t="s">
        <v>7</v>
      </c>
      <c r="AN27" s="445"/>
      <c r="AO27" s="445"/>
      <c r="AP27" s="445"/>
      <c r="AQ27" s="234"/>
      <c r="AR27" s="234"/>
      <c r="AS27" s="234"/>
      <c r="AT27" s="234"/>
      <c r="AU27" s="245">
        <v>4</v>
      </c>
      <c r="AV27" s="239" t="s">
        <v>199</v>
      </c>
      <c r="AW27" s="239">
        <f>C39</f>
        <v>1957.78</v>
      </c>
      <c r="AX27" s="239">
        <f>D39</f>
        <v>2836.4100000000003</v>
      </c>
      <c r="AY27" s="242">
        <f t="shared" si="31"/>
        <v>878.63000000000034</v>
      </c>
      <c r="BG27" s="370">
        <v>1</v>
      </c>
      <c r="BH27" s="371" t="s">
        <v>4</v>
      </c>
      <c r="BI27" s="307">
        <f>BG19</f>
        <v>1102.6650035669131</v>
      </c>
      <c r="BJ27" s="307">
        <f>BH19</f>
        <v>1045.6681502418583</v>
      </c>
      <c r="BK27" s="307">
        <f>BJ27-BI27</f>
        <v>-56.996853325054872</v>
      </c>
      <c r="BL27" s="26">
        <f>ROUND(BI27,2)</f>
        <v>1102.67</v>
      </c>
      <c r="BM27" s="26">
        <f>ROUND(BJ27,2)</f>
        <v>1045.67</v>
      </c>
      <c r="BN27" s="26">
        <f>ROUND(BK27,2)</f>
        <v>-57</v>
      </c>
    </row>
    <row r="28" spans="1:72" x14ac:dyDescent="0.3">
      <c r="A28" s="241">
        <v>5</v>
      </c>
      <c r="B28" s="239" t="s">
        <v>8</v>
      </c>
      <c r="C28" s="239">
        <f>'[2]Approved MTRMY Fixed Charges'!F33</f>
        <v>190.43</v>
      </c>
      <c r="D28" s="242">
        <f>'Fixed Charges'!C33</f>
        <v>246.67</v>
      </c>
      <c r="E28" s="318">
        <f t="shared" si="24"/>
        <v>56.239999999999981</v>
      </c>
      <c r="F28" s="234"/>
      <c r="G28" s="245">
        <v>5</v>
      </c>
      <c r="H28" s="239" t="s">
        <v>8</v>
      </c>
      <c r="I28" s="239">
        <f>'[2]Approved MTRMY Fixed Charges'!C33</f>
        <v>88.68</v>
      </c>
      <c r="J28" s="242">
        <f>'Fixed Charges'!D33</f>
        <v>17.89</v>
      </c>
      <c r="K28" s="318">
        <f t="shared" si="25"/>
        <v>-70.790000000000006</v>
      </c>
      <c r="L28" s="234"/>
      <c r="M28" s="245">
        <v>5</v>
      </c>
      <c r="N28" s="239" t="s">
        <v>8</v>
      </c>
      <c r="O28" s="242">
        <f>'[2]Approved MTRMY Fixed Charges'!D33</f>
        <v>0</v>
      </c>
      <c r="P28" s="242">
        <f>'Fixed Charges'!E33</f>
        <v>0</v>
      </c>
      <c r="Q28" s="242">
        <f t="shared" si="26"/>
        <v>0</v>
      </c>
      <c r="S28" s="241">
        <v>5</v>
      </c>
      <c r="T28" s="239" t="s">
        <v>8</v>
      </c>
      <c r="U28" s="243">
        <f>'[2]Approved MTRMY Fixed Charges'!E33</f>
        <v>31.17</v>
      </c>
      <c r="V28" s="242">
        <f ca="1">'Fixed Charges'!F33</f>
        <v>30.73</v>
      </c>
      <c r="W28" s="242">
        <f t="shared" ca="1" si="27"/>
        <v>-0.44000000000000128</v>
      </c>
      <c r="X28" s="242"/>
      <c r="Z28" s="241">
        <v>5</v>
      </c>
      <c r="AA28" s="239" t="s">
        <v>8</v>
      </c>
      <c r="AB28" s="242">
        <f>'[2]Approved MTRMY Fixed Charges'!G33</f>
        <v>158.38</v>
      </c>
      <c r="AC28" s="242">
        <f>'Fixed Charges'!G33</f>
        <v>158.62</v>
      </c>
      <c r="AD28" s="242">
        <f t="shared" si="28"/>
        <v>0.24000000000000909</v>
      </c>
      <c r="AE28" s="234"/>
      <c r="AF28" s="234"/>
      <c r="AH28" s="239">
        <v>29.13</v>
      </c>
      <c r="AI28" s="252">
        <v>8.61</v>
      </c>
      <c r="AJ28" s="318">
        <f t="shared" si="29"/>
        <v>-20.52</v>
      </c>
      <c r="AK28" s="234"/>
      <c r="AL28" s="443">
        <v>5</v>
      </c>
      <c r="AM28" s="444" t="s">
        <v>8</v>
      </c>
      <c r="AN28" s="444">
        <v>439.53</v>
      </c>
      <c r="AO28" s="445">
        <f ca="1">'Fixed Charges'!I33</f>
        <v>443.6</v>
      </c>
      <c r="AP28" s="445">
        <f t="shared" ca="1" si="30"/>
        <v>4.07000000000005</v>
      </c>
      <c r="AQ28" s="234"/>
      <c r="AR28" s="234"/>
      <c r="AS28" s="234"/>
      <c r="AT28" s="234"/>
      <c r="AU28" s="245">
        <v>5</v>
      </c>
      <c r="AV28" s="239" t="s">
        <v>399</v>
      </c>
      <c r="AW28" s="242">
        <f>AB39</f>
        <v>1951.2099999999998</v>
      </c>
      <c r="AX28" s="242">
        <f>AC39</f>
        <v>2013.26</v>
      </c>
      <c r="AY28" s="242">
        <f t="shared" si="31"/>
        <v>62.050000000000182</v>
      </c>
      <c r="BG28" s="23">
        <v>2</v>
      </c>
      <c r="BH28" s="175" t="s">
        <v>5</v>
      </c>
      <c r="BI28" s="307">
        <f>BI19</f>
        <v>1202.1656911960022</v>
      </c>
      <c r="BJ28" s="307">
        <f>BJ19</f>
        <v>1108.3566492028535</v>
      </c>
      <c r="BK28" s="307">
        <f t="shared" ref="BK28:BK33" si="32">BJ28-BI28</f>
        <v>-93.809041993148639</v>
      </c>
      <c r="BL28" s="26">
        <f t="shared" ref="BL28:BL34" si="33">ROUND(BI28,2)</f>
        <v>1202.17</v>
      </c>
      <c r="BM28" s="26">
        <f t="shared" ref="BM28:BM34" si="34">ROUND(BJ28,2)</f>
        <v>1108.3599999999999</v>
      </c>
      <c r="BN28" s="26">
        <f t="shared" ref="BN28:BN33" si="35">ROUND(BK28,2)</f>
        <v>-93.81</v>
      </c>
    </row>
    <row r="29" spans="1:72" x14ac:dyDescent="0.3">
      <c r="A29" s="241">
        <v>6</v>
      </c>
      <c r="B29" s="239" t="s">
        <v>9</v>
      </c>
      <c r="C29" s="239">
        <f>'[2]Approved MTRMY Fixed Charges'!F34</f>
        <v>216.29</v>
      </c>
      <c r="D29" s="242">
        <f>'Fixed Charges'!C34</f>
        <v>296</v>
      </c>
      <c r="E29" s="318">
        <f t="shared" si="24"/>
        <v>79.710000000000008</v>
      </c>
      <c r="F29" s="234"/>
      <c r="G29" s="245">
        <v>6</v>
      </c>
      <c r="H29" s="239" t="s">
        <v>9</v>
      </c>
      <c r="I29" s="239">
        <f>'[2]Approved MTRMY Fixed Charges'!C34</f>
        <v>127.75</v>
      </c>
      <c r="J29" s="242">
        <f>'Fixed Charges'!D34</f>
        <v>113.37</v>
      </c>
      <c r="K29" s="318">
        <f t="shared" si="25"/>
        <v>-14.379999999999995</v>
      </c>
      <c r="L29" s="234"/>
      <c r="M29" s="245">
        <v>6</v>
      </c>
      <c r="N29" s="239" t="s">
        <v>9</v>
      </c>
      <c r="O29" s="242">
        <f>'[2]Approved MTRMY Fixed Charges'!D34</f>
        <v>83.78</v>
      </c>
      <c r="P29" s="242">
        <f>'Fixed Charges'!E34</f>
        <v>103.24</v>
      </c>
      <c r="Q29" s="242">
        <f t="shared" si="26"/>
        <v>19.459999999999994</v>
      </c>
      <c r="S29" s="241">
        <v>6</v>
      </c>
      <c r="T29" s="239" t="s">
        <v>9</v>
      </c>
      <c r="U29" s="243">
        <f>'[2]Approved MTRMY Fixed Charges'!E34</f>
        <v>38.19</v>
      </c>
      <c r="V29" s="242">
        <f ca="1">'Fixed Charges'!F34</f>
        <v>39.14</v>
      </c>
      <c r="W29" s="242">
        <f t="shared" ca="1" si="27"/>
        <v>0.95000000000000284</v>
      </c>
      <c r="X29" s="242"/>
      <c r="Z29" s="241">
        <v>6</v>
      </c>
      <c r="AA29" s="239" t="s">
        <v>9</v>
      </c>
      <c r="AB29" s="242">
        <f>'[2]Approved MTRMY Fixed Charges'!G34</f>
        <v>235.56</v>
      </c>
      <c r="AC29" s="242">
        <f>'Fixed Charges'!G34</f>
        <v>234.55</v>
      </c>
      <c r="AD29" s="242">
        <f t="shared" si="28"/>
        <v>-1.0099999999999909</v>
      </c>
      <c r="AE29" s="234"/>
      <c r="AF29" s="234"/>
      <c r="AH29" s="239">
        <v>31.09</v>
      </c>
      <c r="AI29" s="252">
        <v>8.61</v>
      </c>
      <c r="AJ29" s="318">
        <f t="shared" si="29"/>
        <v>-22.48</v>
      </c>
      <c r="AK29" s="234"/>
      <c r="AL29" s="443">
        <v>6</v>
      </c>
      <c r="AM29" s="444" t="s">
        <v>9</v>
      </c>
      <c r="AN29" s="444">
        <v>670.48</v>
      </c>
      <c r="AO29" s="445">
        <f ca="1">'Fixed Charges'!I34</f>
        <v>773.92</v>
      </c>
      <c r="AP29" s="445">
        <f t="shared" ca="1" si="30"/>
        <v>103.43999999999994</v>
      </c>
      <c r="AQ29" s="234"/>
      <c r="AR29" s="234"/>
      <c r="AS29" s="234"/>
      <c r="AT29" s="234"/>
      <c r="AU29" s="245">
        <v>6</v>
      </c>
      <c r="AV29" s="239" t="s">
        <v>400</v>
      </c>
      <c r="AW29" s="239">
        <f>AH39</f>
        <v>113.65</v>
      </c>
      <c r="AX29" s="239">
        <f>AI39</f>
        <v>79.979999999999976</v>
      </c>
      <c r="AY29" s="242">
        <f t="shared" si="31"/>
        <v>-33.67000000000003</v>
      </c>
      <c r="BG29" s="23">
        <v>3</v>
      </c>
      <c r="BH29" s="175" t="s">
        <v>6</v>
      </c>
      <c r="BI29" s="307">
        <f>BK19</f>
        <v>1914.8399233212742</v>
      </c>
      <c r="BJ29" s="307">
        <f>BL19</f>
        <v>1827.6688790412304</v>
      </c>
      <c r="BK29" s="307">
        <f t="shared" si="32"/>
        <v>-87.171044280043816</v>
      </c>
      <c r="BL29" s="26">
        <f t="shared" si="33"/>
        <v>1914.84</v>
      </c>
      <c r="BM29" s="26">
        <f t="shared" si="34"/>
        <v>1827.67</v>
      </c>
      <c r="BN29" s="26">
        <f t="shared" si="35"/>
        <v>-87.17</v>
      </c>
    </row>
    <row r="30" spans="1:72" x14ac:dyDescent="0.3">
      <c r="A30" s="241">
        <v>7</v>
      </c>
      <c r="B30" s="239" t="s">
        <v>10</v>
      </c>
      <c r="C30" s="239">
        <f>'[2]Approved MTRMY Fixed Charges'!F35</f>
        <v>200.86</v>
      </c>
      <c r="D30" s="242">
        <f>'Fixed Charges'!C35</f>
        <v>475.73</v>
      </c>
      <c r="E30" s="318">
        <f t="shared" si="24"/>
        <v>274.87</v>
      </c>
      <c r="F30" s="234"/>
      <c r="G30" s="245">
        <v>7</v>
      </c>
      <c r="H30" s="239" t="s">
        <v>10</v>
      </c>
      <c r="I30" s="239">
        <f>'[2]Approved MTRMY Fixed Charges'!C35</f>
        <v>280.08999999999997</v>
      </c>
      <c r="J30" s="242">
        <f>'Fixed Charges'!D35</f>
        <v>247.98</v>
      </c>
      <c r="K30" s="318">
        <f t="shared" si="25"/>
        <v>-32.109999999999985</v>
      </c>
      <c r="L30" s="234"/>
      <c r="M30" s="245">
        <v>7</v>
      </c>
      <c r="N30" s="239" t="s">
        <v>10</v>
      </c>
      <c r="O30" s="242">
        <f>'[2]Approved MTRMY Fixed Charges'!D35</f>
        <v>372.99</v>
      </c>
      <c r="P30" s="242">
        <f>'Fixed Charges'!E35</f>
        <v>386.87</v>
      </c>
      <c r="Q30" s="242">
        <f t="shared" si="26"/>
        <v>13.879999999999995</v>
      </c>
      <c r="S30" s="241">
        <v>7</v>
      </c>
      <c r="T30" s="239" t="s">
        <v>10</v>
      </c>
      <c r="U30" s="243">
        <f>'[2]Approved MTRMY Fixed Charges'!E35</f>
        <v>72.39</v>
      </c>
      <c r="V30" s="242">
        <f ca="1">'Fixed Charges'!F35</f>
        <v>83.26</v>
      </c>
      <c r="W30" s="242">
        <f t="shared" ca="1" si="27"/>
        <v>10.870000000000005</v>
      </c>
      <c r="X30" s="242"/>
      <c r="Z30" s="241">
        <v>7</v>
      </c>
      <c r="AA30" s="239" t="s">
        <v>10</v>
      </c>
      <c r="AB30" s="242">
        <f>'[2]Approved MTRMY Fixed Charges'!G35</f>
        <v>518.27</v>
      </c>
      <c r="AC30" s="242">
        <f>'Fixed Charges'!G35</f>
        <v>468.58</v>
      </c>
      <c r="AD30" s="242">
        <f t="shared" si="28"/>
        <v>-49.69</v>
      </c>
      <c r="AE30" s="234"/>
      <c r="AF30" s="234"/>
      <c r="AH30" s="239">
        <v>12.09</v>
      </c>
      <c r="AI30" s="252">
        <v>10.42</v>
      </c>
      <c r="AJ30" s="318">
        <f t="shared" si="29"/>
        <v>-1.67</v>
      </c>
      <c r="AK30" s="234"/>
      <c r="AL30" s="443">
        <v>7</v>
      </c>
      <c r="AM30" s="444" t="s">
        <v>10</v>
      </c>
      <c r="AN30" s="444">
        <v>1432.5</v>
      </c>
      <c r="AO30" s="445">
        <f ca="1">'Fixed Charges'!I35</f>
        <v>1646.6299999999999</v>
      </c>
      <c r="AP30" s="445">
        <f t="shared" ca="1" si="30"/>
        <v>214.12999999999988</v>
      </c>
      <c r="AQ30" s="234"/>
      <c r="AR30" s="234"/>
      <c r="AS30" s="234"/>
      <c r="AT30" s="234"/>
      <c r="AU30" s="245"/>
      <c r="AV30" s="143" t="s">
        <v>19</v>
      </c>
      <c r="AW30" s="143" t="e">
        <f t="shared" ref="AW30:AY30" si="36">SUM(AW24:AW28)-AW29</f>
        <v>#REF!</v>
      </c>
      <c r="AX30" s="246">
        <f t="shared" ca="1" si="36"/>
        <v>6688.380000000001</v>
      </c>
      <c r="AY30" s="246" t="e">
        <f t="shared" si="36"/>
        <v>#REF!</v>
      </c>
      <c r="BG30" s="23">
        <v>4</v>
      </c>
      <c r="BH30" s="175" t="s">
        <v>7</v>
      </c>
      <c r="BI30" s="307">
        <f>BM19</f>
        <v>8.0121698124986089</v>
      </c>
      <c r="BJ30" s="307">
        <f>BN19</f>
        <v>13.773160487618</v>
      </c>
      <c r="BK30" s="307">
        <f t="shared" si="32"/>
        <v>5.7609906751193911</v>
      </c>
      <c r="BL30" s="26">
        <f t="shared" si="33"/>
        <v>8.01</v>
      </c>
      <c r="BM30" s="26">
        <f t="shared" si="34"/>
        <v>13.77</v>
      </c>
      <c r="BN30" s="26">
        <f t="shared" si="35"/>
        <v>5.76</v>
      </c>
    </row>
    <row r="31" spans="1:72" x14ac:dyDescent="0.3">
      <c r="A31" s="241">
        <v>8</v>
      </c>
      <c r="B31" s="239" t="s">
        <v>11</v>
      </c>
      <c r="C31" s="239">
        <f>'[2]Approved MTRMY Fixed Charges'!F36</f>
        <v>124.54</v>
      </c>
      <c r="D31" s="242">
        <f>'Fixed Charges'!C36</f>
        <v>199.36</v>
      </c>
      <c r="E31" s="318">
        <f t="shared" si="24"/>
        <v>74.820000000000007</v>
      </c>
      <c r="F31" s="234"/>
      <c r="G31" s="245">
        <v>8</v>
      </c>
      <c r="H31" s="239" t="s">
        <v>11</v>
      </c>
      <c r="I31" s="239">
        <f>'[2]Approved MTRMY Fixed Charges'!C36</f>
        <v>87.97</v>
      </c>
      <c r="J31" s="242">
        <f>'Fixed Charges'!D36</f>
        <v>59.08</v>
      </c>
      <c r="K31" s="318">
        <f t="shared" si="25"/>
        <v>-28.89</v>
      </c>
      <c r="L31" s="234"/>
      <c r="M31" s="245">
        <v>8</v>
      </c>
      <c r="N31" s="239" t="s">
        <v>11</v>
      </c>
      <c r="O31" s="242">
        <f>'[2]Approved MTRMY Fixed Charges'!D36</f>
        <v>0</v>
      </c>
      <c r="P31" s="242">
        <f>'Fixed Charges'!E36</f>
        <v>1.45</v>
      </c>
      <c r="Q31" s="242">
        <f t="shared" si="26"/>
        <v>1.45</v>
      </c>
      <c r="S31" s="241">
        <v>8</v>
      </c>
      <c r="T31" s="239" t="s">
        <v>11</v>
      </c>
      <c r="U31" s="243">
        <f>'[2]Approved MTRMY Fixed Charges'!E36</f>
        <v>7.03</v>
      </c>
      <c r="V31" s="242">
        <f ca="1">'Fixed Charges'!F36</f>
        <v>8.66</v>
      </c>
      <c r="W31" s="242">
        <f t="shared" ca="1" si="27"/>
        <v>1.63</v>
      </c>
      <c r="X31" s="242"/>
      <c r="Z31" s="241">
        <v>8</v>
      </c>
      <c r="AA31" s="239" t="s">
        <v>11</v>
      </c>
      <c r="AB31" s="242">
        <f>'[2]Approved MTRMY Fixed Charges'!G36</f>
        <v>97.82</v>
      </c>
      <c r="AC31" s="242">
        <f>'Fixed Charges'!G36</f>
        <v>127.36</v>
      </c>
      <c r="AD31" s="242">
        <f t="shared" si="28"/>
        <v>29.540000000000006</v>
      </c>
      <c r="AE31" s="234"/>
      <c r="AF31" s="234"/>
      <c r="AH31" s="239">
        <v>1.04</v>
      </c>
      <c r="AI31" s="252">
        <v>8.84</v>
      </c>
      <c r="AJ31" s="318">
        <f t="shared" si="29"/>
        <v>7.8</v>
      </c>
      <c r="AK31" s="234"/>
      <c r="AL31" s="443">
        <v>8</v>
      </c>
      <c r="AM31" s="444" t="s">
        <v>11</v>
      </c>
      <c r="AN31" s="444">
        <v>316.33</v>
      </c>
      <c r="AO31" s="445">
        <f ca="1">'Fixed Charges'!I36</f>
        <v>394.22</v>
      </c>
      <c r="AP31" s="445">
        <f t="shared" ca="1" si="30"/>
        <v>77.890000000000043</v>
      </c>
      <c r="AQ31" s="234"/>
      <c r="AR31" s="234"/>
      <c r="AS31" s="234"/>
      <c r="AT31" s="234"/>
      <c r="AU31" s="241">
        <v>7</v>
      </c>
      <c r="AV31" s="239" t="s">
        <v>403</v>
      </c>
      <c r="AW31" s="242">
        <v>1489.46</v>
      </c>
      <c r="AX31" s="242">
        <f>'Fixed Charges'!I46</f>
        <v>1790.09</v>
      </c>
      <c r="AY31" s="242">
        <f>AX31-AW31</f>
        <v>300.62999999999988</v>
      </c>
      <c r="BG31" s="23">
        <v>5</v>
      </c>
      <c r="BH31" s="175" t="s">
        <v>8</v>
      </c>
      <c r="BI31" s="307">
        <f>BO19</f>
        <v>1063.9097447659594</v>
      </c>
      <c r="BJ31" s="307">
        <f>BP19</f>
        <v>1025.1836074785972</v>
      </c>
      <c r="BK31" s="307">
        <f t="shared" si="32"/>
        <v>-38.726137287362235</v>
      </c>
      <c r="BL31" s="26">
        <f t="shared" si="33"/>
        <v>1063.9100000000001</v>
      </c>
      <c r="BM31" s="26">
        <f t="shared" si="34"/>
        <v>1025.18</v>
      </c>
      <c r="BN31" s="26">
        <f t="shared" si="35"/>
        <v>-38.729999999999997</v>
      </c>
    </row>
    <row r="32" spans="1:72" x14ac:dyDescent="0.3">
      <c r="A32" s="241">
        <v>9</v>
      </c>
      <c r="B32" s="239" t="s">
        <v>12</v>
      </c>
      <c r="C32" s="239">
        <f>'[2]Approved MTRMY Fixed Charges'!F37</f>
        <v>106.14</v>
      </c>
      <c r="D32" s="242">
        <f>'Fixed Charges'!C37</f>
        <v>201.5</v>
      </c>
      <c r="E32" s="318">
        <f t="shared" si="24"/>
        <v>95.36</v>
      </c>
      <c r="F32" s="234"/>
      <c r="G32" s="245">
        <v>9</v>
      </c>
      <c r="H32" s="239" t="s">
        <v>12</v>
      </c>
      <c r="I32" s="239">
        <f>'[2]Approved MTRMY Fixed Charges'!C37</f>
        <v>86.43</v>
      </c>
      <c r="J32" s="242">
        <f>'Fixed Charges'!D37</f>
        <v>59.13</v>
      </c>
      <c r="K32" s="318">
        <f t="shared" si="25"/>
        <v>-27.300000000000004</v>
      </c>
      <c r="L32" s="234"/>
      <c r="M32" s="245">
        <v>9</v>
      </c>
      <c r="N32" s="239" t="s">
        <v>12</v>
      </c>
      <c r="O32" s="242">
        <f>'[2]Approved MTRMY Fixed Charges'!D37</f>
        <v>15.88</v>
      </c>
      <c r="P32" s="242">
        <f>'Fixed Charges'!E37</f>
        <v>36.08</v>
      </c>
      <c r="Q32" s="242">
        <f t="shared" si="26"/>
        <v>20.199999999999996</v>
      </c>
      <c r="S32" s="241">
        <v>9</v>
      </c>
      <c r="T32" s="239" t="s">
        <v>12</v>
      </c>
      <c r="U32" s="243">
        <f>'[2]Approved MTRMY Fixed Charges'!E37</f>
        <v>9.25</v>
      </c>
      <c r="V32" s="242">
        <f ca="1">'Fixed Charges'!F37</f>
        <v>11.85</v>
      </c>
      <c r="W32" s="242">
        <f t="shared" ca="1" si="27"/>
        <v>2.5999999999999996</v>
      </c>
      <c r="X32" s="242"/>
      <c r="Z32" s="241">
        <v>9</v>
      </c>
      <c r="AA32" s="239" t="s">
        <v>12</v>
      </c>
      <c r="AB32" s="242">
        <f>'[2]Approved MTRMY Fixed Charges'!G37</f>
        <v>171.02</v>
      </c>
      <c r="AC32" s="242">
        <f>'Fixed Charges'!G37</f>
        <v>224.75</v>
      </c>
      <c r="AD32" s="242">
        <f t="shared" si="28"/>
        <v>53.72999999999999</v>
      </c>
      <c r="AE32" s="234"/>
      <c r="AF32" s="234"/>
      <c r="AH32" s="239">
        <v>2.92</v>
      </c>
      <c r="AI32" s="252">
        <v>15.05</v>
      </c>
      <c r="AJ32" s="318">
        <f t="shared" si="29"/>
        <v>12.13</v>
      </c>
      <c r="AK32" s="234"/>
      <c r="AL32" s="443">
        <v>9</v>
      </c>
      <c r="AM32" s="444" t="s">
        <v>12</v>
      </c>
      <c r="AN32" s="444">
        <v>385.8</v>
      </c>
      <c r="AO32" s="445">
        <f ca="1">'Fixed Charges'!I37</f>
        <v>525.6099999999999</v>
      </c>
      <c r="AP32" s="445">
        <f t="shared" ca="1" si="30"/>
        <v>139.80999999999989</v>
      </c>
      <c r="AQ32" s="234"/>
      <c r="AR32" s="234"/>
      <c r="AS32" s="234"/>
      <c r="AT32" s="234"/>
      <c r="AU32" s="245">
        <v>8</v>
      </c>
      <c r="AV32" s="239" t="s">
        <v>176</v>
      </c>
      <c r="AW32" s="242">
        <v>33.65</v>
      </c>
      <c r="AX32" s="242">
        <f>'Fixed Charges'!I47</f>
        <v>52.433899999999994</v>
      </c>
      <c r="AY32" s="242">
        <f>AX32-AW32</f>
        <v>18.783899999999996</v>
      </c>
      <c r="BG32" s="23">
        <v>6</v>
      </c>
      <c r="BH32" s="175" t="s">
        <v>9</v>
      </c>
      <c r="BI32" s="307">
        <f>BQ19</f>
        <v>1178.6915787740131</v>
      </c>
      <c r="BJ32" s="307">
        <f>BR19</f>
        <v>1223.4046109703856</v>
      </c>
      <c r="BK32" s="307">
        <f t="shared" si="32"/>
        <v>44.713032196372524</v>
      </c>
      <c r="BL32" s="26">
        <f t="shared" si="33"/>
        <v>1178.69</v>
      </c>
      <c r="BM32" s="26">
        <f t="shared" si="34"/>
        <v>1223.4000000000001</v>
      </c>
      <c r="BN32" s="26">
        <f t="shared" si="35"/>
        <v>44.71</v>
      </c>
    </row>
    <row r="33" spans="1:72" x14ac:dyDescent="0.3">
      <c r="A33" s="241">
        <v>10</v>
      </c>
      <c r="B33" s="239" t="s">
        <v>13</v>
      </c>
      <c r="C33" s="239">
        <f>'[2]Approved MTRMY Fixed Charges'!F38</f>
        <v>44.62</v>
      </c>
      <c r="D33" s="242">
        <f>'Fixed Charges'!C38</f>
        <v>61.58</v>
      </c>
      <c r="E33" s="318">
        <f t="shared" si="24"/>
        <v>16.96</v>
      </c>
      <c r="F33" s="234"/>
      <c r="G33" s="245">
        <v>10</v>
      </c>
      <c r="H33" s="239" t="s">
        <v>13</v>
      </c>
      <c r="I33" s="239">
        <f>'[2]Approved MTRMY Fixed Charges'!C38</f>
        <v>1.2</v>
      </c>
      <c r="J33" s="242">
        <f>'Fixed Charges'!D38</f>
        <v>1.04</v>
      </c>
      <c r="K33" s="318">
        <f t="shared" si="25"/>
        <v>-0.15999999999999992</v>
      </c>
      <c r="L33" s="234"/>
      <c r="M33" s="245">
        <v>10</v>
      </c>
      <c r="N33" s="239" t="s">
        <v>13</v>
      </c>
      <c r="O33" s="242">
        <f>'[2]Approved MTRMY Fixed Charges'!D38</f>
        <v>0</v>
      </c>
      <c r="P33" s="242">
        <f>'Fixed Charges'!E38</f>
        <v>0</v>
      </c>
      <c r="Q33" s="242">
        <f t="shared" si="26"/>
        <v>0</v>
      </c>
      <c r="S33" s="241">
        <v>10</v>
      </c>
      <c r="T33" s="239" t="s">
        <v>13</v>
      </c>
      <c r="U33" s="243">
        <f>'[2]Approved MTRMY Fixed Charges'!E38</f>
        <v>1.1599999999999999</v>
      </c>
      <c r="V33" s="242">
        <f ca="1">'Fixed Charges'!F38</f>
        <v>1.56</v>
      </c>
      <c r="W33" s="242">
        <f t="shared" ca="1" si="27"/>
        <v>0.40000000000000013</v>
      </c>
      <c r="X33" s="242"/>
      <c r="Z33" s="241">
        <v>10</v>
      </c>
      <c r="AA33" s="239" t="s">
        <v>13</v>
      </c>
      <c r="AB33" s="242">
        <f>'[2]Approved MTRMY Fixed Charges'!G38</f>
        <v>6.03</v>
      </c>
      <c r="AC33" s="242">
        <f>'Fixed Charges'!G38</f>
        <v>8.07</v>
      </c>
      <c r="AD33" s="242">
        <f t="shared" si="28"/>
        <v>2.04</v>
      </c>
      <c r="AE33" s="234"/>
      <c r="AF33" s="234"/>
      <c r="AH33" s="239">
        <v>0.27</v>
      </c>
      <c r="AI33" s="252">
        <v>0.56999999999999995</v>
      </c>
      <c r="AJ33" s="318">
        <f t="shared" si="29"/>
        <v>0.29999999999999993</v>
      </c>
      <c r="AK33" s="234"/>
      <c r="AL33" s="443">
        <v>10</v>
      </c>
      <c r="AM33" s="444" t="s">
        <v>13</v>
      </c>
      <c r="AN33" s="444">
        <v>52.74</v>
      </c>
      <c r="AO33" s="445">
        <f ca="1">'Fixed Charges'!I38</f>
        <v>71.709999999999994</v>
      </c>
      <c r="AP33" s="445">
        <f t="shared" ca="1" si="30"/>
        <v>18.969999999999992</v>
      </c>
      <c r="AQ33" s="234"/>
      <c r="AR33" s="234"/>
      <c r="AS33" s="234"/>
      <c r="AT33" s="234"/>
      <c r="AU33" s="245"/>
      <c r="AV33" s="239" t="s">
        <v>19</v>
      </c>
      <c r="AW33" s="143" t="e">
        <f t="shared" ref="AW33:AY33" si="37">SUM(AW30:AW32)</f>
        <v>#REF!</v>
      </c>
      <c r="AX33" s="143">
        <f t="shared" ca="1" si="37"/>
        <v>8530.9039000000012</v>
      </c>
      <c r="AY33" s="143" t="e">
        <f t="shared" si="37"/>
        <v>#REF!</v>
      </c>
      <c r="BG33" s="23">
        <v>7</v>
      </c>
      <c r="BH33" s="175" t="s">
        <v>10</v>
      </c>
      <c r="BI33" s="307">
        <f>BS19</f>
        <v>1827.8701789364354</v>
      </c>
      <c r="BJ33" s="307">
        <f>BT19</f>
        <v>1900.3869975240013</v>
      </c>
      <c r="BK33" s="307">
        <f t="shared" si="32"/>
        <v>72.516818587565922</v>
      </c>
      <c r="BL33" s="26">
        <f t="shared" si="33"/>
        <v>1827.87</v>
      </c>
      <c r="BM33" s="26">
        <f t="shared" si="34"/>
        <v>1900.39</v>
      </c>
      <c r="BN33" s="26">
        <f t="shared" si="35"/>
        <v>72.52</v>
      </c>
    </row>
    <row r="34" spans="1:72" x14ac:dyDescent="0.3">
      <c r="A34" s="241">
        <v>11</v>
      </c>
      <c r="B34" s="239" t="s">
        <v>14</v>
      </c>
      <c r="C34" s="239">
        <f>'[2]Approved MTRMY Fixed Charges'!F39</f>
        <v>7.69</v>
      </c>
      <c r="D34" s="242">
        <f>'Fixed Charges'!C39</f>
        <v>9.2899999999999991</v>
      </c>
      <c r="E34" s="318">
        <f t="shared" si="24"/>
        <v>1.5999999999999988</v>
      </c>
      <c r="F34" s="234"/>
      <c r="G34" s="245">
        <v>11</v>
      </c>
      <c r="H34" s="239" t="s">
        <v>14</v>
      </c>
      <c r="I34" s="239">
        <f>'[2]Approved MTRMY Fixed Charges'!C39</f>
        <v>0.9</v>
      </c>
      <c r="J34" s="242">
        <f>'Fixed Charges'!D39</f>
        <v>0.34</v>
      </c>
      <c r="K34" s="318">
        <f t="shared" si="25"/>
        <v>-0.56000000000000005</v>
      </c>
      <c r="L34" s="234"/>
      <c r="M34" s="245">
        <v>11</v>
      </c>
      <c r="N34" s="239" t="s">
        <v>14</v>
      </c>
      <c r="O34" s="242">
        <f>'[2]Approved MTRMY Fixed Charges'!D39</f>
        <v>0</v>
      </c>
      <c r="P34" s="242">
        <f>'Fixed Charges'!E39</f>
        <v>0.02</v>
      </c>
      <c r="Q34" s="242">
        <f t="shared" si="26"/>
        <v>0.02</v>
      </c>
      <c r="S34" s="241">
        <v>11</v>
      </c>
      <c r="T34" s="239" t="s">
        <v>14</v>
      </c>
      <c r="U34" s="243">
        <f>'[2]Approved MTRMY Fixed Charges'!E39</f>
        <v>0.23</v>
      </c>
      <c r="V34" s="242">
        <f ca="1">'Fixed Charges'!F39</f>
        <v>0.26</v>
      </c>
      <c r="W34" s="242">
        <f t="shared" ca="1" si="27"/>
        <v>0.03</v>
      </c>
      <c r="X34" s="242"/>
      <c r="Z34" s="241">
        <v>11</v>
      </c>
      <c r="AA34" s="239" t="s">
        <v>14</v>
      </c>
      <c r="AB34" s="242">
        <f>'[2]Approved MTRMY Fixed Charges'!G39</f>
        <v>2.0699999999999998</v>
      </c>
      <c r="AC34" s="242">
        <f>'Fixed Charges'!G39</f>
        <v>1.94</v>
      </c>
      <c r="AD34" s="242">
        <f t="shared" si="28"/>
        <v>-0.12999999999999989</v>
      </c>
      <c r="AE34" s="234"/>
      <c r="AF34" s="234"/>
      <c r="AH34" s="239">
        <v>0.1</v>
      </c>
      <c r="AI34" s="252">
        <v>0.1</v>
      </c>
      <c r="AJ34" s="318">
        <f t="shared" si="29"/>
        <v>0</v>
      </c>
      <c r="AK34" s="234"/>
      <c r="AL34" s="443">
        <v>11</v>
      </c>
      <c r="AM34" s="444" t="s">
        <v>14</v>
      </c>
      <c r="AN34" s="444">
        <v>10.79</v>
      </c>
      <c r="AO34" s="445">
        <f ca="1">'Fixed Charges'!I39</f>
        <v>11.749999999999998</v>
      </c>
      <c r="AP34" s="445">
        <f t="shared" ca="1" si="30"/>
        <v>0.95999999999999908</v>
      </c>
      <c r="AQ34" s="234"/>
      <c r="AR34" s="234"/>
      <c r="AS34" s="234"/>
      <c r="AT34" s="234"/>
      <c r="AU34" s="245"/>
      <c r="AV34" s="239"/>
      <c r="AW34" s="242"/>
      <c r="AX34" s="242"/>
      <c r="AY34" s="242"/>
      <c r="BH34" s="364"/>
      <c r="BI34" s="307">
        <f>SUM(BI27:BI33)</f>
        <v>8298.1542903730951</v>
      </c>
      <c r="BJ34" s="307">
        <f>SUM(BJ27:BJ33)</f>
        <v>8144.4420549465449</v>
      </c>
      <c r="BK34" s="307">
        <f>SUM(BK27:BK33)</f>
        <v>-153.71223542655173</v>
      </c>
      <c r="BL34" s="26">
        <f t="shared" si="33"/>
        <v>8298.15</v>
      </c>
      <c r="BM34" s="26">
        <f t="shared" si="34"/>
        <v>8144.44</v>
      </c>
      <c r="BN34" s="26">
        <f>BM34-BL34</f>
        <v>-153.71000000000004</v>
      </c>
    </row>
    <row r="35" spans="1:72" x14ac:dyDescent="0.3">
      <c r="A35" s="241">
        <v>12</v>
      </c>
      <c r="B35" s="239" t="s">
        <v>15</v>
      </c>
      <c r="C35" s="239">
        <f>'[2]Approved MTRMY Fixed Charges'!F40</f>
        <v>7.39</v>
      </c>
      <c r="D35" s="242">
        <f>'Fixed Charges'!C40</f>
        <v>9.1199999999999992</v>
      </c>
      <c r="E35" s="318">
        <f t="shared" si="24"/>
        <v>1.7299999999999995</v>
      </c>
      <c r="F35" s="234"/>
      <c r="G35" s="245">
        <v>12</v>
      </c>
      <c r="H35" s="239" t="s">
        <v>15</v>
      </c>
      <c r="I35" s="239">
        <f>'[2]Approved MTRMY Fixed Charges'!C40</f>
        <v>0.57999999999999996</v>
      </c>
      <c r="J35" s="242">
        <f>'Fixed Charges'!D40</f>
        <v>0.57999999999999996</v>
      </c>
      <c r="K35" s="318">
        <f t="shared" si="25"/>
        <v>0</v>
      </c>
      <c r="L35" s="234"/>
      <c r="M35" s="245">
        <v>12</v>
      </c>
      <c r="N35" s="239" t="s">
        <v>15</v>
      </c>
      <c r="O35" s="242">
        <f>'[2]Approved MTRMY Fixed Charges'!D40</f>
        <v>0.57999999999999996</v>
      </c>
      <c r="P35" s="242">
        <f>'Fixed Charges'!E40</f>
        <v>0.83</v>
      </c>
      <c r="Q35" s="242">
        <f t="shared" si="26"/>
        <v>0.25</v>
      </c>
      <c r="S35" s="241">
        <v>12</v>
      </c>
      <c r="T35" s="239" t="s">
        <v>15</v>
      </c>
      <c r="U35" s="243">
        <f>'[2]Approved MTRMY Fixed Charges'!E40</f>
        <v>0.22</v>
      </c>
      <c r="V35" s="242">
        <f ca="1">'Fixed Charges'!F40</f>
        <v>0.27</v>
      </c>
      <c r="W35" s="242">
        <f t="shared" ca="1" si="27"/>
        <v>5.0000000000000017E-2</v>
      </c>
      <c r="X35" s="242"/>
      <c r="Z35" s="241">
        <v>12</v>
      </c>
      <c r="AA35" s="239" t="s">
        <v>15</v>
      </c>
      <c r="AB35" s="242">
        <f>'[2]Approved MTRMY Fixed Charges'!G40</f>
        <v>1.47</v>
      </c>
      <c r="AC35" s="242">
        <f>'Fixed Charges'!G40</f>
        <v>1.97</v>
      </c>
      <c r="AD35" s="242">
        <f t="shared" si="28"/>
        <v>0.5</v>
      </c>
      <c r="AE35" s="234"/>
      <c r="AF35" s="234"/>
      <c r="AH35" s="239">
        <v>0.04</v>
      </c>
      <c r="AI35" s="252">
        <v>0.1</v>
      </c>
      <c r="AJ35" s="318">
        <f t="shared" si="29"/>
        <v>6.0000000000000005E-2</v>
      </c>
      <c r="AK35" s="234"/>
      <c r="AL35" s="443">
        <v>12</v>
      </c>
      <c r="AM35" s="444" t="s">
        <v>15</v>
      </c>
      <c r="AN35" s="444">
        <v>10.199999999999999</v>
      </c>
      <c r="AO35" s="445">
        <f ca="1">'Fixed Charges'!I40</f>
        <v>12.68</v>
      </c>
      <c r="AP35" s="445">
        <f t="shared" ca="1" si="30"/>
        <v>2.4800000000000004</v>
      </c>
      <c r="AQ35" s="234"/>
      <c r="AR35" s="234"/>
      <c r="AS35" s="234"/>
      <c r="AT35" s="234"/>
      <c r="AU35" s="245"/>
      <c r="AV35" s="239"/>
      <c r="AW35" s="242"/>
      <c r="AX35" s="242"/>
      <c r="AY35" s="242"/>
    </row>
    <row r="36" spans="1:72" x14ac:dyDescent="0.3">
      <c r="A36" s="241">
        <v>13</v>
      </c>
      <c r="B36" s="239" t="s">
        <v>16</v>
      </c>
      <c r="C36" s="239">
        <f>'[2]Approved MTRMY Fixed Charges'!F41</f>
        <v>35.46</v>
      </c>
      <c r="D36" s="242">
        <f>'Fixed Charges'!C41</f>
        <v>62.86</v>
      </c>
      <c r="E36" s="318">
        <f t="shared" si="24"/>
        <v>27.4</v>
      </c>
      <c r="F36" s="234"/>
      <c r="G36" s="245">
        <v>13</v>
      </c>
      <c r="H36" s="239" t="s">
        <v>16</v>
      </c>
      <c r="I36" s="239">
        <f>'[2]Approved MTRMY Fixed Charges'!C41</f>
        <v>14.08</v>
      </c>
      <c r="J36" s="242">
        <f>'Fixed Charges'!D41</f>
        <v>11.14</v>
      </c>
      <c r="K36" s="318">
        <f t="shared" si="25"/>
        <v>-2.9399999999999995</v>
      </c>
      <c r="L36" s="234"/>
      <c r="M36" s="245">
        <v>13</v>
      </c>
      <c r="N36" s="239" t="s">
        <v>16</v>
      </c>
      <c r="O36" s="242">
        <f>'[2]Approved MTRMY Fixed Charges'!D41</f>
        <v>8.69</v>
      </c>
      <c r="P36" s="242">
        <f>'Fixed Charges'!E41</f>
        <v>14.48</v>
      </c>
      <c r="Q36" s="242">
        <f t="shared" si="26"/>
        <v>5.7900000000000009</v>
      </c>
      <c r="S36" s="241">
        <v>13</v>
      </c>
      <c r="T36" s="239" t="s">
        <v>16</v>
      </c>
      <c r="U36" s="243">
        <f>'[2]Approved MTRMY Fixed Charges'!E41</f>
        <v>2.15</v>
      </c>
      <c r="V36" s="242">
        <f ca="1">'Fixed Charges'!F41</f>
        <v>2.93</v>
      </c>
      <c r="W36" s="242">
        <f t="shared" ca="1" si="27"/>
        <v>0.78000000000000025</v>
      </c>
      <c r="X36" s="242"/>
      <c r="Z36" s="241">
        <v>13</v>
      </c>
      <c r="AA36" s="239" t="s">
        <v>16</v>
      </c>
      <c r="AB36" s="242">
        <f>'[2]Approved MTRMY Fixed Charges'!G41</f>
        <v>32.119999999999997</v>
      </c>
      <c r="AC36" s="242">
        <f>'Fixed Charges'!G41</f>
        <v>43.03</v>
      </c>
      <c r="AD36" s="242">
        <f t="shared" si="28"/>
        <v>10.910000000000004</v>
      </c>
      <c r="AE36" s="234"/>
      <c r="AF36" s="234"/>
      <c r="AH36" s="239">
        <v>0.3</v>
      </c>
      <c r="AI36" s="252">
        <v>2.27</v>
      </c>
      <c r="AJ36" s="318">
        <f t="shared" si="29"/>
        <v>1.97</v>
      </c>
      <c r="AK36" s="234"/>
      <c r="AL36" s="443">
        <v>13</v>
      </c>
      <c r="AM36" s="444" t="s">
        <v>16</v>
      </c>
      <c r="AN36" s="444">
        <v>92.2</v>
      </c>
      <c r="AO36" s="445">
        <f ca="1">'Fixed Charges'!I41</f>
        <v>133.12</v>
      </c>
      <c r="AP36" s="445">
        <f t="shared" ca="1" si="30"/>
        <v>40.92</v>
      </c>
      <c r="AQ36" s="234"/>
      <c r="AR36" s="234"/>
      <c r="AS36" s="234"/>
      <c r="AT36" s="234"/>
      <c r="AU36" s="245"/>
      <c r="AV36" s="239"/>
      <c r="AW36" s="242"/>
      <c r="AX36" s="242"/>
      <c r="AY36" s="242"/>
      <c r="BG36" s="19" t="s">
        <v>455</v>
      </c>
    </row>
    <row r="37" spans="1:72" x14ac:dyDescent="0.3">
      <c r="A37" s="241">
        <v>14</v>
      </c>
      <c r="B37" s="239" t="s">
        <v>17</v>
      </c>
      <c r="C37" s="239">
        <f>'[2]Approved MTRMY Fixed Charges'!F42</f>
        <v>35.61</v>
      </c>
      <c r="D37" s="242">
        <f>'Fixed Charges'!C42</f>
        <v>63.38</v>
      </c>
      <c r="E37" s="318">
        <f t="shared" si="24"/>
        <v>27.770000000000003</v>
      </c>
      <c r="F37" s="234"/>
      <c r="G37" s="245">
        <v>14</v>
      </c>
      <c r="H37" s="239" t="s">
        <v>17</v>
      </c>
      <c r="I37" s="239">
        <f>'[2]Approved MTRMY Fixed Charges'!C42</f>
        <v>51.47</v>
      </c>
      <c r="J37" s="242">
        <f>'Fixed Charges'!D42</f>
        <v>27.14</v>
      </c>
      <c r="K37" s="318">
        <f t="shared" si="25"/>
        <v>-24.33</v>
      </c>
      <c r="L37" s="234"/>
      <c r="M37" s="245">
        <v>14</v>
      </c>
      <c r="N37" s="239" t="s">
        <v>17</v>
      </c>
      <c r="O37" s="242">
        <f>'[2]Approved MTRMY Fixed Charges'!D42</f>
        <v>42.03</v>
      </c>
      <c r="P37" s="242">
        <f>'Fixed Charges'!E42</f>
        <v>50.93</v>
      </c>
      <c r="Q37" s="242">
        <f t="shared" si="26"/>
        <v>8.8999999999999986</v>
      </c>
      <c r="S37" s="241">
        <v>14</v>
      </c>
      <c r="T37" s="239" t="s">
        <v>17</v>
      </c>
      <c r="U37" s="243">
        <f>'[2]Approved MTRMY Fixed Charges'!E42</f>
        <v>4.68</v>
      </c>
      <c r="V37" s="242">
        <f ca="1">'Fixed Charges'!F42</f>
        <v>5.37</v>
      </c>
      <c r="W37" s="242">
        <f t="shared" ca="1" si="27"/>
        <v>0.69000000000000039</v>
      </c>
      <c r="X37" s="242"/>
      <c r="Z37" s="241">
        <v>14</v>
      </c>
      <c r="AA37" s="239" t="s">
        <v>17</v>
      </c>
      <c r="AB37" s="242">
        <f>'[2]Approved MTRMY Fixed Charges'!G42</f>
        <v>81.97</v>
      </c>
      <c r="AC37" s="242">
        <f>'Fixed Charges'!G42</f>
        <v>102.08</v>
      </c>
      <c r="AD37" s="242">
        <f t="shared" si="28"/>
        <v>20.11</v>
      </c>
      <c r="AE37" s="234"/>
      <c r="AF37" s="234"/>
      <c r="AH37" s="239">
        <v>0.18</v>
      </c>
      <c r="AI37" s="252">
        <v>2.27</v>
      </c>
      <c r="AJ37" s="318">
        <f t="shared" si="29"/>
        <v>2.09</v>
      </c>
      <c r="AK37" s="234"/>
      <c r="AL37" s="443">
        <v>14</v>
      </c>
      <c r="AM37" s="444" t="s">
        <v>17</v>
      </c>
      <c r="AN37" s="444">
        <v>215.59</v>
      </c>
      <c r="AO37" s="445">
        <f ca="1">'Fixed Charges'!I42</f>
        <v>248.57000000000002</v>
      </c>
      <c r="AP37" s="445">
        <f t="shared" ca="1" si="30"/>
        <v>32.980000000000018</v>
      </c>
      <c r="AQ37" s="234"/>
      <c r="AR37" s="234"/>
      <c r="AS37" s="234"/>
      <c r="AT37" s="234"/>
      <c r="AU37" s="245"/>
      <c r="AV37" s="239"/>
      <c r="AW37" s="242"/>
      <c r="AX37" s="242"/>
      <c r="AY37" s="242"/>
      <c r="BG37" s="19" t="s">
        <v>441</v>
      </c>
    </row>
    <row r="38" spans="1:72" ht="32.25" x14ac:dyDescent="0.3">
      <c r="A38" s="241">
        <v>15</v>
      </c>
      <c r="B38" s="239" t="s">
        <v>18</v>
      </c>
      <c r="C38" s="239">
        <f>'[2]Approved MTRMY Fixed Charges'!F43</f>
        <v>40.79</v>
      </c>
      <c r="D38" s="242">
        <f>'Fixed Charges'!C43</f>
        <v>46.09</v>
      </c>
      <c r="E38" s="318">
        <f t="shared" si="24"/>
        <v>5.3000000000000043</v>
      </c>
      <c r="F38" s="234"/>
      <c r="G38" s="245">
        <v>15</v>
      </c>
      <c r="H38" s="239" t="s">
        <v>18</v>
      </c>
      <c r="I38" s="239">
        <f>'[2]Approved MTRMY Fixed Charges'!C43</f>
        <v>10.220000000000001</v>
      </c>
      <c r="J38" s="242">
        <f>'Fixed Charges'!D43</f>
        <v>9.14</v>
      </c>
      <c r="K38" s="318">
        <f t="shared" si="25"/>
        <v>-1.08</v>
      </c>
      <c r="L38" s="234"/>
      <c r="M38" s="245">
        <v>15</v>
      </c>
      <c r="N38" s="239" t="s">
        <v>18</v>
      </c>
      <c r="O38" s="242">
        <f>'[2]Approved MTRMY Fixed Charges'!D43</f>
        <v>18.45</v>
      </c>
      <c r="P38" s="242">
        <f>'Fixed Charges'!E43</f>
        <v>22.07</v>
      </c>
      <c r="Q38" s="242">
        <f t="shared" si="26"/>
        <v>3.620000000000001</v>
      </c>
      <c r="S38" s="241">
        <v>15</v>
      </c>
      <c r="T38" s="239" t="s">
        <v>18</v>
      </c>
      <c r="U38" s="243">
        <f>'[2]Approved MTRMY Fixed Charges'!E43</f>
        <v>1.99</v>
      </c>
      <c r="V38" s="242">
        <f ca="1">'Fixed Charges'!F43</f>
        <v>2.2200000000000002</v>
      </c>
      <c r="W38" s="242">
        <f t="shared" ca="1" si="27"/>
        <v>0.2300000000000002</v>
      </c>
      <c r="X38" s="242"/>
      <c r="Z38" s="241">
        <v>15</v>
      </c>
      <c r="AA38" s="239" t="s">
        <v>18</v>
      </c>
      <c r="AB38" s="242">
        <f>'[2]Approved MTRMY Fixed Charges'!G43</f>
        <v>22.74</v>
      </c>
      <c r="AC38" s="242">
        <f>'Fixed Charges'!G43</f>
        <v>29.16</v>
      </c>
      <c r="AD38" s="242">
        <f t="shared" si="28"/>
        <v>6.4200000000000017</v>
      </c>
      <c r="AE38" s="234"/>
      <c r="AF38" s="234"/>
      <c r="AH38" s="239">
        <v>0.52</v>
      </c>
      <c r="AI38" s="252">
        <v>1.25</v>
      </c>
      <c r="AJ38" s="318">
        <f t="shared" si="29"/>
        <v>0.73</v>
      </c>
      <c r="AK38" s="234"/>
      <c r="AL38" s="443">
        <v>15</v>
      </c>
      <c r="AM38" s="444" t="s">
        <v>18</v>
      </c>
      <c r="AN38" s="444">
        <v>93.67</v>
      </c>
      <c r="AO38" s="445">
        <f ca="1">'Fixed Charges'!I43</f>
        <v>108.42</v>
      </c>
      <c r="AP38" s="445">
        <f t="shared" ca="1" si="30"/>
        <v>14.75</v>
      </c>
      <c r="AQ38" s="234"/>
      <c r="AR38" s="234"/>
      <c r="AS38" s="234"/>
      <c r="AT38" s="234"/>
      <c r="AU38" s="245"/>
      <c r="AV38" s="239"/>
      <c r="AW38" s="242"/>
      <c r="AX38" s="242"/>
      <c r="AY38" s="242"/>
      <c r="BG38" s="10" t="s">
        <v>231</v>
      </c>
      <c r="BH38" s="10" t="s">
        <v>21</v>
      </c>
      <c r="BI38" s="103" t="s">
        <v>442</v>
      </c>
      <c r="BJ38" s="10" t="s">
        <v>443</v>
      </c>
      <c r="BK38" s="10"/>
    </row>
    <row r="39" spans="1:72" s="253" customFormat="1" x14ac:dyDescent="0.3">
      <c r="A39" s="250"/>
      <c r="B39" s="250" t="s">
        <v>19</v>
      </c>
      <c r="C39" s="250">
        <f>SUM(C24:C38)</f>
        <v>1957.78</v>
      </c>
      <c r="D39" s="251">
        <f t="shared" ref="D39:E39" si="38">SUM(D24:D38)</f>
        <v>2836.4100000000003</v>
      </c>
      <c r="E39" s="321">
        <f t="shared" si="38"/>
        <v>878.63000000000011</v>
      </c>
      <c r="F39" s="254"/>
      <c r="G39" s="249"/>
      <c r="H39" s="250" t="s">
        <v>19</v>
      </c>
      <c r="I39" s="250" t="e">
        <f>SUM(I24:I38)</f>
        <v>#REF!</v>
      </c>
      <c r="J39" s="251">
        <f t="shared" ref="J39:K39" si="39">SUM(J24:J38)</f>
        <v>774.78</v>
      </c>
      <c r="K39" s="321" t="e">
        <f t="shared" si="39"/>
        <v>#REF!</v>
      </c>
      <c r="L39" s="254"/>
      <c r="M39" s="249"/>
      <c r="N39" s="250" t="s">
        <v>19</v>
      </c>
      <c r="O39" s="251">
        <f>SUM(O24:O38)</f>
        <v>765.81000000000017</v>
      </c>
      <c r="P39" s="251">
        <f>SUM(P24:P38)</f>
        <v>821.10000000000014</v>
      </c>
      <c r="Q39" s="251">
        <f t="shared" ref="Q39" si="40">SUM(Q24:Q38)</f>
        <v>55.289999999999978</v>
      </c>
      <c r="S39" s="250"/>
      <c r="T39" s="250" t="s">
        <v>19</v>
      </c>
      <c r="U39" s="251">
        <f>SUM(U24:U38)</f>
        <v>299.38</v>
      </c>
      <c r="V39" s="251">
        <f t="shared" ref="V39:W39" ca="1" si="41">SUM(V24:V38)</f>
        <v>322.81000000000006</v>
      </c>
      <c r="W39" s="251">
        <f t="shared" ca="1" si="41"/>
        <v>23.43000000000001</v>
      </c>
      <c r="X39" s="251"/>
      <c r="Z39" s="250"/>
      <c r="AA39" s="250" t="s">
        <v>19</v>
      </c>
      <c r="AB39" s="251">
        <f>SUM(AB24:AB38)</f>
        <v>1951.2099999999998</v>
      </c>
      <c r="AC39" s="251">
        <f t="shared" ref="AC39:AD39" si="42">SUM(AC24:AC38)</f>
        <v>2013.26</v>
      </c>
      <c r="AD39" s="251">
        <f t="shared" si="42"/>
        <v>62.05000000000004</v>
      </c>
      <c r="AE39" s="254"/>
      <c r="AF39" s="254"/>
      <c r="AH39" s="250">
        <f>SUM(AH24:AH38)</f>
        <v>113.65</v>
      </c>
      <c r="AI39" s="251">
        <f>SUM(AI24:AI38)</f>
        <v>79.979999999999976</v>
      </c>
      <c r="AJ39" s="318">
        <f>AI39-AH39</f>
        <v>-33.67000000000003</v>
      </c>
      <c r="AK39" s="234"/>
      <c r="AL39" s="446"/>
      <c r="AM39" s="447" t="s">
        <v>19</v>
      </c>
      <c r="AN39" s="448">
        <f>SUM(AN24:AN38)</f>
        <v>5843.0299999999988</v>
      </c>
      <c r="AO39" s="448">
        <f t="shared" ref="AO39:AP39" ca="1" si="43">SUM(AO24:AO38)</f>
        <v>6686.01</v>
      </c>
      <c r="AP39" s="448">
        <f t="shared" ca="1" si="43"/>
        <v>842.9799999999999</v>
      </c>
      <c r="AQ39" s="254"/>
      <c r="AR39" s="254"/>
      <c r="AS39" s="254"/>
      <c r="AT39" s="254"/>
      <c r="AU39" s="249"/>
      <c r="AV39" s="250"/>
      <c r="AW39" s="251"/>
      <c r="AX39" s="251"/>
      <c r="AY39" s="251"/>
      <c r="BG39" s="370">
        <v>1</v>
      </c>
      <c r="BH39" s="371" t="s">
        <v>4</v>
      </c>
      <c r="BI39" s="377">
        <f>BG17</f>
        <v>4.2922779580382473</v>
      </c>
      <c r="BJ39" s="377">
        <f>BH17</f>
        <v>4.0704097238843682</v>
      </c>
      <c r="BK39" s="307"/>
      <c r="BL39" s="376"/>
      <c r="BM39" s="376"/>
      <c r="BN39" s="376"/>
      <c r="BO39" s="376"/>
      <c r="BP39" s="376"/>
      <c r="BQ39" s="376"/>
      <c r="BR39" s="376"/>
      <c r="BS39" s="376"/>
      <c r="BT39" s="376"/>
    </row>
    <row r="40" spans="1:72" x14ac:dyDescent="0.3">
      <c r="BG40" s="23">
        <v>2</v>
      </c>
      <c r="BH40" s="175" t="s">
        <v>5</v>
      </c>
      <c r="BI40" s="377">
        <f>BI17</f>
        <v>4.1407803943780621</v>
      </c>
      <c r="BJ40" s="377">
        <f>BJ17</f>
        <v>3.8176613395378198</v>
      </c>
      <c r="BK40" s="307"/>
    </row>
    <row r="41" spans="1:72" x14ac:dyDescent="0.3">
      <c r="B41" s="233" t="s">
        <v>391</v>
      </c>
      <c r="C41" s="231"/>
      <c r="D41" s="231"/>
      <c r="G41" s="231" t="s">
        <v>388</v>
      </c>
      <c r="H41" s="231"/>
      <c r="M41" s="231"/>
      <c r="N41" s="231"/>
      <c r="O41" s="248" t="s">
        <v>389</v>
      </c>
      <c r="P41" s="231"/>
      <c r="Q41" s="231"/>
      <c r="T41" s="233" t="s">
        <v>390</v>
      </c>
      <c r="U41" s="231"/>
      <c r="V41" s="231"/>
      <c r="W41" s="231"/>
      <c r="X41" s="231"/>
      <c r="AA41" s="233" t="s">
        <v>392</v>
      </c>
      <c r="AB41" s="231"/>
      <c r="AC41" s="231"/>
      <c r="AH41" s="239" t="s">
        <v>401</v>
      </c>
      <c r="AI41" s="239"/>
      <c r="AJ41" s="317"/>
      <c r="AM41" s="231" t="s">
        <v>393</v>
      </c>
      <c r="AN41" s="231"/>
      <c r="AV41" s="231" t="s">
        <v>397</v>
      </c>
      <c r="AW41" s="231"/>
      <c r="BG41" s="23">
        <v>3</v>
      </c>
      <c r="BH41" s="175" t="s">
        <v>6</v>
      </c>
      <c r="BI41" s="377">
        <f>BK17</f>
        <v>3.6204306823707548</v>
      </c>
      <c r="BJ41" s="377">
        <f>BL17</f>
        <v>3.4556144387349055</v>
      </c>
      <c r="BK41" s="307"/>
    </row>
    <row r="42" spans="1:72" x14ac:dyDescent="0.3">
      <c r="A42" s="235" t="s">
        <v>190</v>
      </c>
      <c r="B42" s="237"/>
      <c r="G42" s="235" t="s">
        <v>190</v>
      </c>
      <c r="M42" s="235" t="s">
        <v>190</v>
      </c>
      <c r="O42" s="236"/>
      <c r="S42" s="235" t="s">
        <v>190</v>
      </c>
      <c r="T42" s="237"/>
      <c r="Z42" s="235" t="s">
        <v>190</v>
      </c>
      <c r="AA42" s="237"/>
      <c r="AH42" s="239" t="s">
        <v>175</v>
      </c>
      <c r="AI42" s="239"/>
      <c r="AJ42" s="317"/>
      <c r="AL42" s="235" t="s">
        <v>190</v>
      </c>
      <c r="AU42" s="235" t="s">
        <v>190</v>
      </c>
      <c r="BG42" s="23">
        <v>4</v>
      </c>
      <c r="BH42" s="175" t="s">
        <v>7</v>
      </c>
      <c r="BI42" s="377">
        <f>BM17</f>
        <v>4.9631886959755835</v>
      </c>
      <c r="BJ42" s="377">
        <f>BN17</f>
        <v>8.5318703971259708</v>
      </c>
      <c r="BK42" s="307"/>
    </row>
    <row r="43" spans="1:72" x14ac:dyDescent="0.3">
      <c r="A43" s="238" t="s">
        <v>1</v>
      </c>
      <c r="B43" s="238" t="s">
        <v>2</v>
      </c>
      <c r="C43" s="143" t="s">
        <v>196</v>
      </c>
      <c r="D43" s="143" t="s">
        <v>334</v>
      </c>
      <c r="E43" s="320" t="s">
        <v>396</v>
      </c>
      <c r="F43" s="142"/>
      <c r="G43" s="244" t="s">
        <v>1</v>
      </c>
      <c r="H43" s="238" t="s">
        <v>2</v>
      </c>
      <c r="I43" s="143" t="s">
        <v>196</v>
      </c>
      <c r="J43" s="143" t="s">
        <v>334</v>
      </c>
      <c r="K43" s="320" t="s">
        <v>396</v>
      </c>
      <c r="L43" s="142"/>
      <c r="M43" s="244" t="s">
        <v>1</v>
      </c>
      <c r="N43" s="238" t="s">
        <v>2</v>
      </c>
      <c r="O43" s="143" t="s">
        <v>196</v>
      </c>
      <c r="P43" s="143" t="s">
        <v>334</v>
      </c>
      <c r="Q43" s="143" t="s">
        <v>396</v>
      </c>
      <c r="S43" s="238" t="s">
        <v>1</v>
      </c>
      <c r="T43" s="238" t="s">
        <v>2</v>
      </c>
      <c r="U43" s="143" t="s">
        <v>196</v>
      </c>
      <c r="V43" s="143" t="s">
        <v>334</v>
      </c>
      <c r="W43" s="143" t="s">
        <v>396</v>
      </c>
      <c r="X43" s="143"/>
      <c r="Z43" s="238" t="s">
        <v>1</v>
      </c>
      <c r="AA43" s="238" t="s">
        <v>2</v>
      </c>
      <c r="AB43" s="143" t="s">
        <v>196</v>
      </c>
      <c r="AC43" s="143" t="s">
        <v>334</v>
      </c>
      <c r="AD43" s="143" t="s">
        <v>396</v>
      </c>
      <c r="AE43" s="142"/>
      <c r="AF43" s="142"/>
      <c r="AH43" s="239" t="s">
        <v>196</v>
      </c>
      <c r="AI43" s="240" t="s">
        <v>395</v>
      </c>
      <c r="AJ43" s="326" t="s">
        <v>402</v>
      </c>
      <c r="AK43" s="231"/>
      <c r="AL43" s="244" t="s">
        <v>1</v>
      </c>
      <c r="AM43" s="238" t="s">
        <v>2</v>
      </c>
      <c r="AN43" s="143" t="s">
        <v>196</v>
      </c>
      <c r="AO43" s="143" t="s">
        <v>334</v>
      </c>
      <c r="AP43" s="143" t="s">
        <v>396</v>
      </c>
      <c r="AQ43" s="142"/>
      <c r="AR43" s="142"/>
      <c r="AS43" s="142"/>
      <c r="AT43" s="142"/>
      <c r="AU43" s="238" t="s">
        <v>231</v>
      </c>
      <c r="AV43" s="238" t="s">
        <v>398</v>
      </c>
      <c r="AW43" s="143" t="s">
        <v>196</v>
      </c>
      <c r="AX43" s="143" t="s">
        <v>334</v>
      </c>
      <c r="AY43" s="143" t="s">
        <v>396</v>
      </c>
      <c r="BG43" s="23">
        <v>5</v>
      </c>
      <c r="BH43" s="175" t="s">
        <v>8</v>
      </c>
      <c r="BI43" s="377">
        <f>BO17</f>
        <v>3.8396985825793775</v>
      </c>
      <c r="BJ43" s="377">
        <f>BP17</f>
        <v>3.6999341944979713</v>
      </c>
      <c r="BK43" s="307"/>
    </row>
    <row r="44" spans="1:72" x14ac:dyDescent="0.3">
      <c r="A44" s="241">
        <v>1</v>
      </c>
      <c r="B44" s="239" t="s">
        <v>4</v>
      </c>
      <c r="C44" s="239">
        <f>APPROVED!E6</f>
        <v>230.98</v>
      </c>
      <c r="D44" s="242">
        <f>'Fixed Charges'!C53</f>
        <v>312.97000000000003</v>
      </c>
      <c r="E44" s="318">
        <f>D44-C44</f>
        <v>81.990000000000038</v>
      </c>
      <c r="F44" s="234"/>
      <c r="G44" s="245">
        <v>1</v>
      </c>
      <c r="H44" s="239" t="s">
        <v>4</v>
      </c>
      <c r="I44" s="239">
        <f>APPROVED!C6</f>
        <v>1.44</v>
      </c>
      <c r="J44" s="242">
        <f>'Fixed Charges'!D53</f>
        <v>34.56</v>
      </c>
      <c r="K44" s="318">
        <f>J44-I44</f>
        <v>33.120000000000005</v>
      </c>
      <c r="L44" s="234"/>
      <c r="M44" s="245">
        <v>1</v>
      </c>
      <c r="N44" s="239" t="s">
        <v>4</v>
      </c>
      <c r="O44" s="242">
        <f>APPROVED!I6</f>
        <v>0.24</v>
      </c>
      <c r="P44" s="242">
        <f>'Fixed Charges'!E53</f>
        <v>0</v>
      </c>
      <c r="Q44" s="242">
        <f>P44-O44</f>
        <v>-0.24</v>
      </c>
      <c r="S44" s="241">
        <v>1</v>
      </c>
      <c r="T44" s="239" t="s">
        <v>4</v>
      </c>
      <c r="U44" s="243">
        <f>APPROVED!K6</f>
        <v>34.71</v>
      </c>
      <c r="V44" s="242">
        <f ca="1">'Fixed Charges'!F53</f>
        <v>34.49</v>
      </c>
      <c r="W44" s="242">
        <f ca="1">V44-U44</f>
        <v>-0.21999999999999886</v>
      </c>
      <c r="X44" s="242"/>
      <c r="Z44" s="241">
        <v>1</v>
      </c>
      <c r="AA44" s="239" t="s">
        <v>4</v>
      </c>
      <c r="AB44" s="242">
        <f>APPROVED!G6</f>
        <v>141.46</v>
      </c>
      <c r="AC44" s="242">
        <f>'Fixed Charges'!G53</f>
        <v>142.36000000000001</v>
      </c>
      <c r="AD44" s="242">
        <f>AC44-AB44</f>
        <v>0.90000000000000568</v>
      </c>
      <c r="AE44" s="234"/>
      <c r="AF44" s="234"/>
      <c r="AH44" s="239">
        <f>APPROVED!M6</f>
        <v>16.46</v>
      </c>
      <c r="AI44" s="242">
        <f>'F8-NTI'!D4</f>
        <v>9.44</v>
      </c>
      <c r="AJ44" s="318">
        <f>AI44-AH44</f>
        <v>-7.0200000000000014</v>
      </c>
      <c r="AK44" s="234"/>
      <c r="AL44" s="245">
        <v>1</v>
      </c>
      <c r="AM44" s="239" t="s">
        <v>4</v>
      </c>
      <c r="AN44" s="242">
        <f>APPROVED!O6</f>
        <v>392.37</v>
      </c>
      <c r="AO44" s="242">
        <f ca="1">'Fixed Charges'!I53</f>
        <v>514.94000000000005</v>
      </c>
      <c r="AP44" s="242">
        <f ca="1">AO44-AN44</f>
        <v>122.57000000000005</v>
      </c>
      <c r="AQ44" s="234"/>
      <c r="AR44" s="234"/>
      <c r="AS44" s="234"/>
      <c r="AT44" s="234"/>
      <c r="AU44" s="238"/>
      <c r="AV44" s="238" t="s">
        <v>48</v>
      </c>
      <c r="AW44" s="246">
        <f>C58</f>
        <v>2068.7000000000003</v>
      </c>
      <c r="AX44" s="246">
        <f>D58</f>
        <v>2959.1400000000003</v>
      </c>
      <c r="AY44" s="246">
        <f>E58</f>
        <v>890.43999999999983</v>
      </c>
      <c r="BG44" s="23">
        <v>6</v>
      </c>
      <c r="BH44" s="175" t="s">
        <v>9</v>
      </c>
      <c r="BI44" s="377">
        <f>BQ17</f>
        <v>3.6132254714078011</v>
      </c>
      <c r="BJ44" s="377">
        <f>BR17</f>
        <v>3.750291239709846</v>
      </c>
      <c r="BK44" s="307"/>
    </row>
    <row r="45" spans="1:72" x14ac:dyDescent="0.3">
      <c r="A45" s="241">
        <v>2</v>
      </c>
      <c r="B45" s="239" t="s">
        <v>5</v>
      </c>
      <c r="C45" s="239">
        <f>APPROVED!E7</f>
        <v>230.86</v>
      </c>
      <c r="D45" s="242">
        <f>'Fixed Charges'!C54</f>
        <v>312.97000000000003</v>
      </c>
      <c r="E45" s="318">
        <f t="shared" ref="E45:E46" si="44">D45-C45</f>
        <v>82.110000000000014</v>
      </c>
      <c r="F45" s="234"/>
      <c r="G45" s="245">
        <v>2</v>
      </c>
      <c r="H45" s="239" t="s">
        <v>5</v>
      </c>
      <c r="I45" s="239">
        <f>APPROVED!C7</f>
        <v>45.25</v>
      </c>
      <c r="J45" s="242">
        <f>'Fixed Charges'!D54</f>
        <v>23.86</v>
      </c>
      <c r="K45" s="318">
        <f t="shared" ref="K45:K57" si="45">J45-I45</f>
        <v>-21.39</v>
      </c>
      <c r="L45" s="234"/>
      <c r="M45" s="245">
        <v>2</v>
      </c>
      <c r="N45" s="239" t="s">
        <v>5</v>
      </c>
      <c r="O45" s="242">
        <f>APPROVED!I7</f>
        <v>0</v>
      </c>
      <c r="P45" s="242">
        <f>'Fixed Charges'!E54</f>
        <v>0</v>
      </c>
      <c r="Q45" s="242">
        <f t="shared" ref="Q45:Q46" si="46">P45-O45</f>
        <v>0</v>
      </c>
      <c r="S45" s="241">
        <v>2</v>
      </c>
      <c r="T45" s="239" t="s">
        <v>5</v>
      </c>
      <c r="U45" s="243">
        <f>APPROVED!K7</f>
        <v>33.96</v>
      </c>
      <c r="V45" s="242">
        <f ca="1">'Fixed Charges'!F54</f>
        <v>36.5</v>
      </c>
      <c r="W45" s="242">
        <f t="shared" ref="W45:W57" ca="1" si="47">V45-U45</f>
        <v>2.5399999999999991</v>
      </c>
      <c r="X45" s="242"/>
      <c r="Z45" s="241">
        <v>2</v>
      </c>
      <c r="AA45" s="239" t="s">
        <v>5</v>
      </c>
      <c r="AB45" s="242">
        <f>APPROVED!G7</f>
        <v>153.68</v>
      </c>
      <c r="AC45" s="242">
        <f>'Fixed Charges'!G54</f>
        <v>154.54</v>
      </c>
      <c r="AD45" s="242">
        <f t="shared" ref="AD45:AD57" si="48">AC45-AB45</f>
        <v>0.85999999999998522</v>
      </c>
      <c r="AE45" s="234"/>
      <c r="AF45" s="234"/>
      <c r="AH45" s="239">
        <f>APPROVED!M7</f>
        <v>9.23</v>
      </c>
      <c r="AI45" s="242">
        <f>'F8-NTI'!D5</f>
        <v>9.44</v>
      </c>
      <c r="AJ45" s="318">
        <f t="shared" ref="AJ45:AJ57" si="49">AI45-AH45</f>
        <v>0.20999999999999908</v>
      </c>
      <c r="AK45" s="234"/>
      <c r="AL45" s="245">
        <v>2</v>
      </c>
      <c r="AM45" s="239" t="s">
        <v>5</v>
      </c>
      <c r="AN45" s="242">
        <f>APPROVED!P7</f>
        <v>454.52</v>
      </c>
      <c r="AO45" s="242">
        <f ca="1">'Fixed Charges'!I54</f>
        <v>518.42999999999995</v>
      </c>
      <c r="AP45" s="242">
        <f t="shared" ref="AP45:AP57" ca="1" si="50">AO45-AN45</f>
        <v>63.909999999999968</v>
      </c>
      <c r="AQ45" s="234"/>
      <c r="AR45" s="234"/>
      <c r="AS45" s="234"/>
      <c r="AT45" s="234"/>
      <c r="AU45" s="241">
        <v>1</v>
      </c>
      <c r="AV45" s="239" t="s">
        <v>197</v>
      </c>
      <c r="AW45" s="242">
        <f>I58</f>
        <v>979.5</v>
      </c>
      <c r="AX45" s="239">
        <f>J58</f>
        <v>802.79000000000008</v>
      </c>
      <c r="AY45" s="242">
        <f>AX45-AW45</f>
        <v>-176.70999999999992</v>
      </c>
      <c r="BA45" s="278"/>
      <c r="BB45" s="278"/>
      <c r="BC45" s="278"/>
      <c r="BD45" s="278"/>
      <c r="BG45" s="23">
        <v>7</v>
      </c>
      <c r="BH45" s="175" t="s">
        <v>10</v>
      </c>
      <c r="BI45" s="377">
        <f>BS17</f>
        <v>3.8069786769818581</v>
      </c>
      <c r="BJ45" s="377">
        <f>BT17</f>
        <v>3.9580123692356808</v>
      </c>
      <c r="BK45" s="307"/>
    </row>
    <row r="46" spans="1:72" x14ac:dyDescent="0.3">
      <c r="A46" s="241">
        <v>3</v>
      </c>
      <c r="B46" s="239" t="s">
        <v>6</v>
      </c>
      <c r="C46" s="239">
        <f>APPROVED!E8</f>
        <v>539.87</v>
      </c>
      <c r="D46" s="242">
        <f>'Fixed Charges'!C55</f>
        <v>588.66999999999996</v>
      </c>
      <c r="E46" s="318">
        <f t="shared" si="44"/>
        <v>48.799999999999955</v>
      </c>
      <c r="F46" s="234"/>
      <c r="G46" s="245">
        <v>3</v>
      </c>
      <c r="H46" s="239" t="s">
        <v>6</v>
      </c>
      <c r="I46" s="239">
        <f>APPROVED!C8</f>
        <v>186.42</v>
      </c>
      <c r="J46" s="242">
        <f>'Fixed Charges'!D55</f>
        <v>174.95</v>
      </c>
      <c r="K46" s="318">
        <f t="shared" si="45"/>
        <v>-11.469999999999999</v>
      </c>
      <c r="L46" s="234"/>
      <c r="M46" s="245">
        <v>3</v>
      </c>
      <c r="N46" s="239" t="s">
        <v>6</v>
      </c>
      <c r="O46" s="242">
        <f>APPROVED!I8</f>
        <v>203.81</v>
      </c>
      <c r="P46" s="242">
        <f>'Fixed Charges'!E55</f>
        <v>188.83</v>
      </c>
      <c r="Q46" s="242">
        <f t="shared" si="46"/>
        <v>-14.97999999999999</v>
      </c>
      <c r="S46" s="241">
        <v>3</v>
      </c>
      <c r="T46" s="239" t="s">
        <v>6</v>
      </c>
      <c r="U46" s="243">
        <f>APPROVED!K8</f>
        <v>63.13</v>
      </c>
      <c r="V46" s="242">
        <f ca="1">'Fixed Charges'!F55</f>
        <v>62.19</v>
      </c>
      <c r="W46" s="242">
        <f t="shared" ca="1" si="47"/>
        <v>-0.94000000000000483</v>
      </c>
      <c r="X46" s="242"/>
      <c r="Z46" s="241">
        <v>3</v>
      </c>
      <c r="AA46" s="239" t="s">
        <v>6</v>
      </c>
      <c r="AB46" s="242">
        <f>APPROVED!G8</f>
        <v>328.62</v>
      </c>
      <c r="AC46" s="242">
        <f>'Fixed Charges'!G55</f>
        <v>317.77999999999997</v>
      </c>
      <c r="AD46" s="242">
        <f t="shared" si="48"/>
        <v>-10.840000000000032</v>
      </c>
      <c r="AE46" s="234"/>
      <c r="AF46" s="234"/>
      <c r="AH46" s="239">
        <f>APPROVED!M8</f>
        <v>11.72</v>
      </c>
      <c r="AI46" s="242">
        <f>'F8-NTI'!D6</f>
        <v>14.25</v>
      </c>
      <c r="AJ46" s="318">
        <f t="shared" si="49"/>
        <v>2.5299999999999994</v>
      </c>
      <c r="AK46" s="234"/>
      <c r="AL46" s="245">
        <v>3</v>
      </c>
      <c r="AM46" s="239" t="s">
        <v>6</v>
      </c>
      <c r="AN46" s="242">
        <f>APPROVED!O8</f>
        <v>1310.1300000000001</v>
      </c>
      <c r="AO46" s="242">
        <f ca="1">'Fixed Charges'!I55</f>
        <v>1318.1699999999998</v>
      </c>
      <c r="AP46" s="242">
        <f t="shared" ca="1" si="50"/>
        <v>8.0399999999997362</v>
      </c>
      <c r="AQ46" s="234"/>
      <c r="AR46" s="234"/>
      <c r="AS46" s="234"/>
      <c r="AT46" s="234"/>
      <c r="AU46" s="241">
        <v>2</v>
      </c>
      <c r="AV46" s="239" t="s">
        <v>198</v>
      </c>
      <c r="AW46" s="239">
        <f>O58</f>
        <v>678.98</v>
      </c>
      <c r="AX46" s="239">
        <f>P58</f>
        <v>793.74</v>
      </c>
      <c r="AY46" s="242">
        <f t="shared" ref="AY46:AY49" si="51">AX46-AW46</f>
        <v>114.75999999999999</v>
      </c>
      <c r="BA46" s="278"/>
      <c r="BB46" s="278"/>
      <c r="BC46" s="278"/>
      <c r="BD46" s="278"/>
      <c r="BG46" s="19" t="s">
        <v>19</v>
      </c>
      <c r="BH46" s="364" t="s">
        <v>456</v>
      </c>
      <c r="BI46" s="377"/>
      <c r="BJ46" s="377"/>
      <c r="BK46" s="307"/>
    </row>
    <row r="47" spans="1:72" x14ac:dyDescent="0.3">
      <c r="A47" s="241">
        <v>5</v>
      </c>
      <c r="B47" s="239" t="s">
        <v>8</v>
      </c>
      <c r="C47" s="239">
        <f>APPROVED!E10</f>
        <v>201.15</v>
      </c>
      <c r="D47" s="242">
        <f>'Fixed Charges'!C56</f>
        <v>257.5</v>
      </c>
      <c r="E47" s="318">
        <f t="shared" ref="E47:E57" si="52">D47-C47</f>
        <v>56.349999999999994</v>
      </c>
      <c r="F47" s="234"/>
      <c r="G47" s="245">
        <v>5</v>
      </c>
      <c r="H47" s="239" t="s">
        <v>8</v>
      </c>
      <c r="I47" s="239">
        <f>APPROVED!C10</f>
        <v>88.68</v>
      </c>
      <c r="J47" s="242">
        <f>'Fixed Charges'!D56</f>
        <v>18.309999999999999</v>
      </c>
      <c r="K47" s="318">
        <f t="shared" si="45"/>
        <v>-70.37</v>
      </c>
      <c r="L47" s="234"/>
      <c r="M47" s="245">
        <v>5</v>
      </c>
      <c r="N47" s="239" t="s">
        <v>8</v>
      </c>
      <c r="O47" s="242">
        <f>APPROVED!I10</f>
        <v>0</v>
      </c>
      <c r="P47" s="242">
        <f>'Fixed Charges'!E56</f>
        <v>0</v>
      </c>
      <c r="Q47" s="242">
        <f t="shared" ref="Q47:Q57" si="53">P47-O47</f>
        <v>0</v>
      </c>
      <c r="S47" s="241">
        <v>5</v>
      </c>
      <c r="T47" s="239" t="s">
        <v>8</v>
      </c>
      <c r="U47" s="243">
        <f>APPROVED!K10</f>
        <v>31.38</v>
      </c>
      <c r="V47" s="242">
        <f ca="1">'Fixed Charges'!F56</f>
        <v>29.28</v>
      </c>
      <c r="W47" s="242">
        <f t="shared" ca="1" si="47"/>
        <v>-2.0999999999999979</v>
      </c>
      <c r="X47" s="242"/>
      <c r="Z47" s="241">
        <v>5</v>
      </c>
      <c r="AA47" s="239" t="s">
        <v>8</v>
      </c>
      <c r="AB47" s="242">
        <f>APPROVED!G10</f>
        <v>158.38</v>
      </c>
      <c r="AC47" s="242">
        <f>'Fixed Charges'!G56</f>
        <v>158.84</v>
      </c>
      <c r="AD47" s="242">
        <f t="shared" si="48"/>
        <v>0.46000000000000796</v>
      </c>
      <c r="AE47" s="234"/>
      <c r="AF47" s="234"/>
      <c r="AH47" s="239">
        <f>APPROVED!M10</f>
        <v>30.29</v>
      </c>
      <c r="AI47" s="242">
        <f>'F8-NTI'!D8</f>
        <v>10.73</v>
      </c>
      <c r="AJ47" s="318">
        <f t="shared" si="49"/>
        <v>-19.559999999999999</v>
      </c>
      <c r="AK47" s="234"/>
      <c r="AL47" s="245">
        <v>5</v>
      </c>
      <c r="AM47" s="239" t="s">
        <v>8</v>
      </c>
      <c r="AN47" s="242">
        <f>APPROVED!O10</f>
        <v>449.3</v>
      </c>
      <c r="AO47" s="242">
        <f ca="1">'Fixed Charges'!I56</f>
        <v>453.20000000000005</v>
      </c>
      <c r="AP47" s="242">
        <f t="shared" ca="1" si="50"/>
        <v>3.9000000000000341</v>
      </c>
      <c r="AQ47" s="234"/>
      <c r="AR47" s="234"/>
      <c r="AS47" s="234"/>
      <c r="AT47" s="234"/>
      <c r="AU47" s="241">
        <v>3</v>
      </c>
      <c r="AV47" s="239" t="s">
        <v>104</v>
      </c>
      <c r="AW47" s="239">
        <f>U58</f>
        <v>300.54000000000008</v>
      </c>
      <c r="AX47" s="239">
        <f ca="1">V58</f>
        <v>316.43999999999994</v>
      </c>
      <c r="AY47" s="242">
        <f t="shared" ca="1" si="51"/>
        <v>15.899999999999864</v>
      </c>
      <c r="BA47" s="278"/>
      <c r="BB47" s="278"/>
      <c r="BC47" s="278"/>
      <c r="BD47" s="278"/>
    </row>
    <row r="48" spans="1:72" x14ac:dyDescent="0.3">
      <c r="A48" s="241">
        <v>6</v>
      </c>
      <c r="B48" s="239" t="s">
        <v>9</v>
      </c>
      <c r="C48" s="239">
        <f>APPROVED!E11</f>
        <v>228.47</v>
      </c>
      <c r="D48" s="242">
        <f>'Fixed Charges'!C57</f>
        <v>308.99</v>
      </c>
      <c r="E48" s="318">
        <f t="shared" si="52"/>
        <v>80.52000000000001</v>
      </c>
      <c r="F48" s="234"/>
      <c r="G48" s="245">
        <v>6</v>
      </c>
      <c r="H48" s="239" t="s">
        <v>9</v>
      </c>
      <c r="I48" s="239">
        <f>APPROVED!C11</f>
        <v>127.75</v>
      </c>
      <c r="J48" s="242">
        <f>'Fixed Charges'!D57</f>
        <v>116.31</v>
      </c>
      <c r="K48" s="318">
        <f t="shared" si="45"/>
        <v>-11.439999999999998</v>
      </c>
      <c r="L48" s="234"/>
      <c r="M48" s="245">
        <v>6</v>
      </c>
      <c r="N48" s="239" t="s">
        <v>9</v>
      </c>
      <c r="O48" s="242">
        <f>APPROVED!I11</f>
        <v>70.62</v>
      </c>
      <c r="P48" s="242">
        <f>'Fixed Charges'!E57</f>
        <v>95.21</v>
      </c>
      <c r="Q48" s="242">
        <f t="shared" si="53"/>
        <v>24.589999999999989</v>
      </c>
      <c r="S48" s="241">
        <v>6</v>
      </c>
      <c r="T48" s="239" t="s">
        <v>9</v>
      </c>
      <c r="U48" s="243">
        <f>APPROVED!K11</f>
        <v>38.270000000000003</v>
      </c>
      <c r="V48" s="242">
        <f ca="1">'Fixed Charges'!F57</f>
        <v>37.46</v>
      </c>
      <c r="W48" s="242">
        <f t="shared" ca="1" si="47"/>
        <v>-0.81000000000000227</v>
      </c>
      <c r="X48" s="242"/>
      <c r="Z48" s="241">
        <v>6</v>
      </c>
      <c r="AA48" s="239" t="s">
        <v>9</v>
      </c>
      <c r="AB48" s="242">
        <f>APPROVED!G11</f>
        <v>235.56</v>
      </c>
      <c r="AC48" s="242">
        <f>'Fixed Charges'!G57</f>
        <v>237.1</v>
      </c>
      <c r="AD48" s="242">
        <f t="shared" si="48"/>
        <v>1.539999999999992</v>
      </c>
      <c r="AE48" s="234"/>
      <c r="AF48" s="234"/>
      <c r="AH48" s="239">
        <f>APPROVED!M11</f>
        <v>32.33</v>
      </c>
      <c r="AI48" s="242">
        <f>'F8-NTI'!D9</f>
        <v>12.87</v>
      </c>
      <c r="AJ48" s="318">
        <f t="shared" si="49"/>
        <v>-19.46</v>
      </c>
      <c r="AK48" s="234"/>
      <c r="AL48" s="245">
        <v>6</v>
      </c>
      <c r="AM48" s="239" t="s">
        <v>9</v>
      </c>
      <c r="AN48" s="242">
        <f>APPROVED!O11</f>
        <v>668.34</v>
      </c>
      <c r="AO48" s="242">
        <f ca="1">'Fixed Charges'!I57</f>
        <v>782.2</v>
      </c>
      <c r="AP48" s="242">
        <f t="shared" ca="1" si="50"/>
        <v>113.86000000000001</v>
      </c>
      <c r="AQ48" s="234"/>
      <c r="AR48" s="234"/>
      <c r="AS48" s="234"/>
      <c r="AT48" s="234"/>
      <c r="AU48" s="241">
        <v>5</v>
      </c>
      <c r="AV48" s="239" t="s">
        <v>399</v>
      </c>
      <c r="AW48" s="239">
        <f>AB58</f>
        <v>1951.2099999999998</v>
      </c>
      <c r="AX48" s="239">
        <f>AC58</f>
        <v>2041.93</v>
      </c>
      <c r="AY48" s="242">
        <f t="shared" si="51"/>
        <v>90.720000000000255</v>
      </c>
      <c r="BA48" s="278"/>
      <c r="BB48" s="278"/>
      <c r="BC48" s="278"/>
      <c r="BD48" s="278"/>
      <c r="BG48" s="19" t="s">
        <v>457</v>
      </c>
    </row>
    <row r="49" spans="1:72" x14ac:dyDescent="0.3">
      <c r="A49" s="241">
        <v>7</v>
      </c>
      <c r="B49" s="239" t="s">
        <v>10</v>
      </c>
      <c r="C49" s="242">
        <f>APPROVED!E12</f>
        <v>212.3</v>
      </c>
      <c r="D49" s="242">
        <f>'Fixed Charges'!C58</f>
        <v>496.8</v>
      </c>
      <c r="E49" s="318">
        <f t="shared" si="52"/>
        <v>284.5</v>
      </c>
      <c r="F49" s="234"/>
      <c r="G49" s="245">
        <v>7</v>
      </c>
      <c r="H49" s="239" t="s">
        <v>10</v>
      </c>
      <c r="I49" s="239">
        <f>APPROVED!C12</f>
        <v>280.08999999999997</v>
      </c>
      <c r="J49" s="242">
        <f>'Fixed Charges'!D58</f>
        <v>267.02999999999997</v>
      </c>
      <c r="K49" s="318">
        <f t="shared" si="45"/>
        <v>-13.060000000000002</v>
      </c>
      <c r="L49" s="234"/>
      <c r="M49" s="245">
        <v>7</v>
      </c>
      <c r="N49" s="239" t="s">
        <v>10</v>
      </c>
      <c r="O49" s="242">
        <f>APPROVED!I12</f>
        <v>343.91</v>
      </c>
      <c r="P49" s="242">
        <f>'Fixed Charges'!E58</f>
        <v>395.72</v>
      </c>
      <c r="Q49" s="242">
        <f t="shared" si="53"/>
        <v>51.81</v>
      </c>
      <c r="S49" s="241">
        <v>7</v>
      </c>
      <c r="T49" s="239" t="s">
        <v>10</v>
      </c>
      <c r="U49" s="243">
        <f>APPROVED!K12</f>
        <v>72.260000000000005</v>
      </c>
      <c r="V49" s="242">
        <f ca="1">'Fixed Charges'!F58</f>
        <v>82.97</v>
      </c>
      <c r="W49" s="242">
        <f t="shared" ca="1" si="47"/>
        <v>10.709999999999994</v>
      </c>
      <c r="X49" s="242"/>
      <c r="Z49" s="241">
        <v>7</v>
      </c>
      <c r="AA49" s="239" t="s">
        <v>10</v>
      </c>
      <c r="AB49" s="242">
        <f>APPROVED!G12</f>
        <v>518.27</v>
      </c>
      <c r="AC49" s="242">
        <f>'Fixed Charges'!G58</f>
        <v>492.62</v>
      </c>
      <c r="AD49" s="242">
        <f t="shared" si="48"/>
        <v>-25.649999999999977</v>
      </c>
      <c r="AE49" s="234"/>
      <c r="AF49" s="234"/>
      <c r="AH49" s="239">
        <f>APPROVED!M12</f>
        <v>12.57</v>
      </c>
      <c r="AI49" s="242">
        <f>'F8-NTI'!D10</f>
        <v>16.43</v>
      </c>
      <c r="AJ49" s="318">
        <f t="shared" si="49"/>
        <v>3.8599999999999994</v>
      </c>
      <c r="AK49" s="234"/>
      <c r="AL49" s="245">
        <v>7</v>
      </c>
      <c r="AM49" s="239" t="s">
        <v>10</v>
      </c>
      <c r="AN49" s="242">
        <f>APPROVED!O12</f>
        <v>1414.26</v>
      </c>
      <c r="AO49" s="242">
        <f ca="1">'Fixed Charges'!I58</f>
        <v>1718.7099999999998</v>
      </c>
      <c r="AP49" s="242">
        <f t="shared" ca="1" si="50"/>
        <v>304.44999999999982</v>
      </c>
      <c r="AQ49" s="234"/>
      <c r="AR49" s="234"/>
      <c r="AS49" s="234"/>
      <c r="AT49" s="234"/>
      <c r="AU49" s="241">
        <v>6</v>
      </c>
      <c r="AV49" s="239" t="s">
        <v>400</v>
      </c>
      <c r="AW49" s="239">
        <f>AH58</f>
        <v>118.18</v>
      </c>
      <c r="AX49" s="239">
        <f>AI58</f>
        <v>85.689999999999984</v>
      </c>
      <c r="AY49" s="242">
        <f t="shared" si="51"/>
        <v>-32.490000000000023</v>
      </c>
      <c r="BA49" s="278"/>
      <c r="BB49" s="278"/>
      <c r="BC49" s="278"/>
      <c r="BD49" s="278"/>
    </row>
    <row r="50" spans="1:72" x14ac:dyDescent="0.3">
      <c r="A50" s="241">
        <v>8</v>
      </c>
      <c r="B50" s="239" t="s">
        <v>11</v>
      </c>
      <c r="C50" s="239">
        <f>APPROVED!E14</f>
        <v>131.58000000000001</v>
      </c>
      <c r="D50" s="242">
        <f>'Fixed Charges'!C59</f>
        <v>207.74</v>
      </c>
      <c r="E50" s="318">
        <f t="shared" si="52"/>
        <v>76.16</v>
      </c>
      <c r="F50" s="234"/>
      <c r="G50" s="245">
        <v>8</v>
      </c>
      <c r="H50" s="239" t="s">
        <v>11</v>
      </c>
      <c r="I50" s="239">
        <f>APPROVED!C14</f>
        <v>87.97</v>
      </c>
      <c r="J50" s="242">
        <f>'Fixed Charges'!D59</f>
        <v>59.07</v>
      </c>
      <c r="K50" s="318">
        <f t="shared" si="45"/>
        <v>-28.9</v>
      </c>
      <c r="L50" s="234"/>
      <c r="M50" s="245">
        <v>8</v>
      </c>
      <c r="N50" s="239" t="s">
        <v>11</v>
      </c>
      <c r="O50" s="242">
        <f>APPROVED!I14</f>
        <v>0</v>
      </c>
      <c r="P50" s="242">
        <f>'Fixed Charges'!E59</f>
        <v>0</v>
      </c>
      <c r="Q50" s="242">
        <f t="shared" si="53"/>
        <v>0</v>
      </c>
      <c r="S50" s="241">
        <v>8</v>
      </c>
      <c r="T50" s="239" t="s">
        <v>11</v>
      </c>
      <c r="U50" s="243">
        <f>APPROVED!K14</f>
        <v>7.18</v>
      </c>
      <c r="V50" s="242">
        <f ca="1">'Fixed Charges'!F59</f>
        <v>8.82</v>
      </c>
      <c r="W50" s="242">
        <f t="shared" ca="1" si="47"/>
        <v>1.6400000000000006</v>
      </c>
      <c r="X50" s="242"/>
      <c r="Z50" s="241">
        <v>8</v>
      </c>
      <c r="AA50" s="239" t="s">
        <v>11</v>
      </c>
      <c r="AB50" s="242">
        <f>APPROVED!G14</f>
        <v>97.82</v>
      </c>
      <c r="AC50" s="242">
        <f>'Fixed Charges'!G59</f>
        <v>127.36</v>
      </c>
      <c r="AD50" s="242">
        <f t="shared" si="48"/>
        <v>29.540000000000006</v>
      </c>
      <c r="AE50" s="234"/>
      <c r="AF50" s="234"/>
      <c r="AH50" s="239">
        <f>APPROVED!M14</f>
        <v>1.08</v>
      </c>
      <c r="AI50" s="242">
        <f>'F8-NTI'!D11</f>
        <v>1.76</v>
      </c>
      <c r="AJ50" s="318">
        <f t="shared" si="49"/>
        <v>0.67999999999999994</v>
      </c>
      <c r="AK50" s="234"/>
      <c r="AL50" s="245">
        <v>8</v>
      </c>
      <c r="AM50" s="239" t="s">
        <v>11</v>
      </c>
      <c r="AN50" s="242">
        <f>APPROVED!O14</f>
        <v>323.47000000000003</v>
      </c>
      <c r="AO50" s="242">
        <f ca="1">'Fixed Charges'!I59</f>
        <v>401.23</v>
      </c>
      <c r="AP50" s="242">
        <f t="shared" ca="1" si="50"/>
        <v>77.759999999999991</v>
      </c>
      <c r="AQ50" s="234"/>
      <c r="AR50" s="234"/>
      <c r="AS50" s="234"/>
      <c r="AT50" s="234"/>
      <c r="AU50" s="241"/>
      <c r="AV50" s="143" t="s">
        <v>19</v>
      </c>
      <c r="AW50" s="143">
        <f>SUM(AW44:AW48)-AW49</f>
        <v>5860.75</v>
      </c>
      <c r="AX50" s="143">
        <f t="shared" ref="AX50:AY50" ca="1" si="54">SUM(AX44:AX48)-AX49</f>
        <v>6828.35</v>
      </c>
      <c r="AY50" s="143">
        <f t="shared" ca="1" si="54"/>
        <v>967.6</v>
      </c>
      <c r="BA50" s="278"/>
      <c r="BB50" s="278"/>
      <c r="BC50" s="278"/>
      <c r="BD50" s="278"/>
    </row>
    <row r="51" spans="1:72" x14ac:dyDescent="0.3">
      <c r="A51" s="241">
        <v>9</v>
      </c>
      <c r="B51" s="239" t="s">
        <v>12</v>
      </c>
      <c r="C51" s="239">
        <f>APPROVED!E15</f>
        <v>112.12</v>
      </c>
      <c r="D51" s="242">
        <f>'Fixed Charges'!C60</f>
        <v>210.31</v>
      </c>
      <c r="E51" s="318">
        <f t="shared" si="52"/>
        <v>98.19</v>
      </c>
      <c r="F51" s="234"/>
      <c r="G51" s="245">
        <v>9</v>
      </c>
      <c r="H51" s="239" t="s">
        <v>12</v>
      </c>
      <c r="I51" s="239">
        <f>APPROVED!C15</f>
        <v>86.43</v>
      </c>
      <c r="J51" s="242">
        <f>'Fixed Charges'!D60</f>
        <v>59.13</v>
      </c>
      <c r="K51" s="318">
        <f t="shared" si="45"/>
        <v>-27.300000000000004</v>
      </c>
      <c r="L51" s="234"/>
      <c r="M51" s="245">
        <v>9</v>
      </c>
      <c r="N51" s="239" t="s">
        <v>12</v>
      </c>
      <c r="O51" s="242">
        <f>APPROVED!I15</f>
        <v>0</v>
      </c>
      <c r="P51" s="242">
        <f>'Fixed Charges'!E60</f>
        <v>30.08</v>
      </c>
      <c r="Q51" s="242">
        <f t="shared" si="53"/>
        <v>30.08</v>
      </c>
      <c r="S51" s="241">
        <v>9</v>
      </c>
      <c r="T51" s="239" t="s">
        <v>12</v>
      </c>
      <c r="U51" s="243">
        <f>APPROVED!K15</f>
        <v>9.17</v>
      </c>
      <c r="V51" s="242">
        <f ca="1">'Fixed Charges'!F60</f>
        <v>11.96</v>
      </c>
      <c r="W51" s="242">
        <f t="shared" ca="1" si="47"/>
        <v>2.7900000000000009</v>
      </c>
      <c r="X51" s="242"/>
      <c r="Z51" s="241">
        <v>9</v>
      </c>
      <c r="AA51" s="239" t="s">
        <v>12</v>
      </c>
      <c r="AB51" s="242">
        <f>APPROVED!G15</f>
        <v>171.02</v>
      </c>
      <c r="AC51" s="242">
        <f>'Fixed Charges'!G60</f>
        <v>224.75</v>
      </c>
      <c r="AD51" s="242">
        <f t="shared" si="48"/>
        <v>53.72999999999999</v>
      </c>
      <c r="AE51" s="234"/>
      <c r="AF51" s="234"/>
      <c r="AH51" s="239">
        <f>APPROVED!M15</f>
        <v>3.04</v>
      </c>
      <c r="AI51" s="242">
        <f>'F8-NTI'!D12</f>
        <v>8.01</v>
      </c>
      <c r="AJ51" s="318">
        <f t="shared" si="49"/>
        <v>4.97</v>
      </c>
      <c r="AK51" s="234"/>
      <c r="AL51" s="245">
        <v>9</v>
      </c>
      <c r="AM51" s="239" t="s">
        <v>12</v>
      </c>
      <c r="AN51" s="242">
        <f>APPROVED!O15</f>
        <v>375.7</v>
      </c>
      <c r="AO51" s="242">
        <f ca="1">'Fixed Charges'!I60</f>
        <v>528.22</v>
      </c>
      <c r="AP51" s="242">
        <f t="shared" ca="1" si="50"/>
        <v>152.52000000000004</v>
      </c>
      <c r="AQ51" s="234"/>
      <c r="AR51" s="234"/>
      <c r="AS51" s="234"/>
      <c r="AT51" s="234"/>
      <c r="AU51" s="241">
        <v>7</v>
      </c>
      <c r="AV51" s="239" t="s">
        <v>403</v>
      </c>
      <c r="AW51" s="242">
        <v>1617.06</v>
      </c>
      <c r="AX51" s="242">
        <f>'Fixed Charges'!I69</f>
        <v>1902.23</v>
      </c>
      <c r="AY51" s="242">
        <f>AX51-AW51</f>
        <v>285.17000000000007</v>
      </c>
      <c r="BA51" s="278"/>
      <c r="BB51" s="278"/>
      <c r="BC51" s="278"/>
      <c r="BD51" s="278"/>
    </row>
    <row r="52" spans="1:72" x14ac:dyDescent="0.3">
      <c r="A52" s="241">
        <v>10</v>
      </c>
      <c r="B52" s="239" t="s">
        <v>13</v>
      </c>
      <c r="C52" s="239">
        <f>APPROVED!E16</f>
        <v>47.18</v>
      </c>
      <c r="D52" s="242">
        <f>'Fixed Charges'!C61</f>
        <v>64.180000000000007</v>
      </c>
      <c r="E52" s="318">
        <f t="shared" si="52"/>
        <v>17.000000000000007</v>
      </c>
      <c r="F52" s="234"/>
      <c r="G52" s="245">
        <v>10</v>
      </c>
      <c r="H52" s="239" t="s">
        <v>13</v>
      </c>
      <c r="I52" s="239">
        <f>APPROVED!C16</f>
        <v>1.1399999999999999</v>
      </c>
      <c r="J52" s="242">
        <f>'Fixed Charges'!D61</f>
        <v>1.04</v>
      </c>
      <c r="K52" s="318">
        <f t="shared" si="45"/>
        <v>-9.9999999999999867E-2</v>
      </c>
      <c r="L52" s="234"/>
      <c r="M52" s="245">
        <v>10</v>
      </c>
      <c r="N52" s="239" t="s">
        <v>13</v>
      </c>
      <c r="O52" s="242">
        <f>APPROVED!I16</f>
        <v>0</v>
      </c>
      <c r="P52" s="242">
        <f>'Fixed Charges'!E61</f>
        <v>0</v>
      </c>
      <c r="Q52" s="242">
        <f t="shared" si="53"/>
        <v>0</v>
      </c>
      <c r="S52" s="241">
        <v>10</v>
      </c>
      <c r="T52" s="239" t="s">
        <v>13</v>
      </c>
      <c r="U52" s="243">
        <f>APPROVED!K16</f>
        <v>1.21</v>
      </c>
      <c r="V52" s="242">
        <f ca="1">'Fixed Charges'!F61</f>
        <v>1.61</v>
      </c>
      <c r="W52" s="242">
        <f t="shared" ca="1" si="47"/>
        <v>0.40000000000000013</v>
      </c>
      <c r="X52" s="242"/>
      <c r="Z52" s="241">
        <v>10</v>
      </c>
      <c r="AA52" s="239" t="s">
        <v>13</v>
      </c>
      <c r="AB52" s="242">
        <f>APPROVED!G16</f>
        <v>6.03</v>
      </c>
      <c r="AC52" s="242">
        <f>'Fixed Charges'!G61</f>
        <v>8.07</v>
      </c>
      <c r="AD52" s="242">
        <f t="shared" si="48"/>
        <v>2.04</v>
      </c>
      <c r="AE52" s="234"/>
      <c r="AF52" s="234"/>
      <c r="AH52" s="239">
        <f>APPROVED!M16</f>
        <v>0.28000000000000003</v>
      </c>
      <c r="AI52" s="242">
        <f>'F8-NTI'!D13</f>
        <v>0.56000000000000005</v>
      </c>
      <c r="AJ52" s="318">
        <f t="shared" si="49"/>
        <v>0.28000000000000003</v>
      </c>
      <c r="AK52" s="234"/>
      <c r="AL52" s="245">
        <v>10</v>
      </c>
      <c r="AM52" s="239" t="s">
        <v>13</v>
      </c>
      <c r="AN52" s="242">
        <f>APPROVED!O16</f>
        <v>55.29</v>
      </c>
      <c r="AO52" s="242">
        <f ca="1">'Fixed Charges'!I61</f>
        <v>74.34</v>
      </c>
      <c r="AP52" s="242">
        <f t="shared" ca="1" si="50"/>
        <v>19.050000000000004</v>
      </c>
      <c r="AQ52" s="234"/>
      <c r="AR52" s="234"/>
      <c r="AS52" s="234"/>
      <c r="AT52" s="234"/>
      <c r="AU52" s="245">
        <v>8</v>
      </c>
      <c r="AV52" s="239" t="s">
        <v>176</v>
      </c>
      <c r="AW52" s="242">
        <v>33.840000000000003</v>
      </c>
      <c r="AX52" s="242">
        <f>'Fixed Charges'!I70</f>
        <v>53.48</v>
      </c>
      <c r="AY52" s="242">
        <f>AX52-AW52</f>
        <v>19.639999999999993</v>
      </c>
      <c r="BA52" s="278"/>
      <c r="BB52" s="278"/>
      <c r="BC52" s="278"/>
      <c r="BD52" s="278"/>
    </row>
    <row r="53" spans="1:72" x14ac:dyDescent="0.3">
      <c r="A53" s="241">
        <v>11</v>
      </c>
      <c r="B53" s="239" t="s">
        <v>14</v>
      </c>
      <c r="C53" s="239">
        <f>APPROVED!E17</f>
        <v>8.1300000000000008</v>
      </c>
      <c r="D53" s="242">
        <f>'Fixed Charges'!C62</f>
        <v>9.67</v>
      </c>
      <c r="E53" s="318">
        <f t="shared" si="52"/>
        <v>1.5399999999999991</v>
      </c>
      <c r="F53" s="234"/>
      <c r="G53" s="245">
        <v>11</v>
      </c>
      <c r="H53" s="239" t="s">
        <v>14</v>
      </c>
      <c r="I53" s="239">
        <f>APPROVED!C17</f>
        <v>0.9</v>
      </c>
      <c r="J53" s="242">
        <f>'Fixed Charges'!D62</f>
        <v>0.34</v>
      </c>
      <c r="K53" s="318">
        <f t="shared" si="45"/>
        <v>-0.56000000000000005</v>
      </c>
      <c r="L53" s="234"/>
      <c r="M53" s="245">
        <v>11</v>
      </c>
      <c r="N53" s="239" t="s">
        <v>14</v>
      </c>
      <c r="O53" s="242">
        <f>APPROVED!I17</f>
        <v>0</v>
      </c>
      <c r="P53" s="242">
        <f>'Fixed Charges'!E62</f>
        <v>0</v>
      </c>
      <c r="Q53" s="242">
        <f t="shared" si="53"/>
        <v>0</v>
      </c>
      <c r="S53" s="241">
        <v>11</v>
      </c>
      <c r="T53" s="239" t="s">
        <v>14</v>
      </c>
      <c r="U53" s="243">
        <f>APPROVED!K17</f>
        <v>0.24</v>
      </c>
      <c r="V53" s="242">
        <f ca="1">'Fixed Charges'!F62</f>
        <v>0.27</v>
      </c>
      <c r="W53" s="242">
        <f t="shared" ca="1" si="47"/>
        <v>3.0000000000000027E-2</v>
      </c>
      <c r="X53" s="242"/>
      <c r="Z53" s="241">
        <v>11</v>
      </c>
      <c r="AA53" s="239" t="s">
        <v>14</v>
      </c>
      <c r="AB53" s="242">
        <f>APPROVED!G17</f>
        <v>2.0699999999999998</v>
      </c>
      <c r="AC53" s="242">
        <f>'Fixed Charges'!G62</f>
        <v>1.94</v>
      </c>
      <c r="AD53" s="242">
        <f t="shared" si="48"/>
        <v>-0.12999999999999989</v>
      </c>
      <c r="AE53" s="234"/>
      <c r="AF53" s="234"/>
      <c r="AH53" s="239">
        <f>APPROVED!M17</f>
        <v>0.1</v>
      </c>
      <c r="AI53" s="242">
        <f>'F8-NTI'!D14</f>
        <v>0.1</v>
      </c>
      <c r="AJ53" s="318">
        <f t="shared" si="49"/>
        <v>0</v>
      </c>
      <c r="AK53" s="234"/>
      <c r="AL53" s="245">
        <v>11</v>
      </c>
      <c r="AM53" s="239" t="s">
        <v>14</v>
      </c>
      <c r="AN53" s="242">
        <f>APPROVED!O17</f>
        <v>11.24</v>
      </c>
      <c r="AO53" s="242">
        <f ca="1">'Fixed Charges'!I62</f>
        <v>12.12</v>
      </c>
      <c r="AP53" s="242">
        <f t="shared" ca="1" si="50"/>
        <v>0.87999999999999901</v>
      </c>
      <c r="AQ53" s="234"/>
      <c r="AR53" s="234"/>
      <c r="AS53" s="234"/>
      <c r="AT53" s="234"/>
      <c r="AU53" s="245"/>
      <c r="AV53" s="239" t="s">
        <v>19</v>
      </c>
      <c r="AW53" s="143">
        <f t="shared" ref="AW53:AY53" si="55">SUM(AW50:AW52)</f>
        <v>7511.65</v>
      </c>
      <c r="AX53" s="143">
        <f t="shared" ca="1" si="55"/>
        <v>8784.06</v>
      </c>
      <c r="AY53" s="143">
        <f t="shared" ca="1" si="55"/>
        <v>1272.4100000000001</v>
      </c>
      <c r="AZ53" s="232">
        <f ca="1">AY53/27676.55</f>
        <v>4.5974299542392391E-2</v>
      </c>
      <c r="BA53" s="278"/>
      <c r="BB53" s="278"/>
      <c r="BC53" s="278"/>
      <c r="BD53" s="278"/>
    </row>
    <row r="54" spans="1:72" x14ac:dyDescent="0.3">
      <c r="A54" s="241">
        <v>12</v>
      </c>
      <c r="B54" s="239" t="s">
        <v>15</v>
      </c>
      <c r="C54" s="239">
        <f>APPROVED!E18</f>
        <v>7.81</v>
      </c>
      <c r="D54" s="242">
        <f>'Fixed Charges'!C63</f>
        <v>9.51</v>
      </c>
      <c r="E54" s="318">
        <f t="shared" si="52"/>
        <v>1.7000000000000002</v>
      </c>
      <c r="F54" s="234"/>
      <c r="G54" s="245">
        <v>12</v>
      </c>
      <c r="H54" s="239" t="s">
        <v>15</v>
      </c>
      <c r="I54" s="239">
        <f>APPROVED!C18</f>
        <v>0.57999999999999996</v>
      </c>
      <c r="J54" s="242">
        <f>'Fixed Charges'!D63</f>
        <v>0.57999999999999996</v>
      </c>
      <c r="K54" s="318">
        <f t="shared" si="45"/>
        <v>0</v>
      </c>
      <c r="L54" s="234"/>
      <c r="M54" s="245">
        <v>12</v>
      </c>
      <c r="N54" s="239" t="s">
        <v>15</v>
      </c>
      <c r="O54" s="242">
        <f>APPROVED!I18</f>
        <v>0.51</v>
      </c>
      <c r="P54" s="242">
        <f>'Fixed Charges'!E63</f>
        <v>0.78</v>
      </c>
      <c r="Q54" s="242">
        <f t="shared" si="53"/>
        <v>0.27</v>
      </c>
      <c r="S54" s="241">
        <v>12</v>
      </c>
      <c r="T54" s="239" t="s">
        <v>15</v>
      </c>
      <c r="U54" s="243">
        <f>APPROVED!K18</f>
        <v>0.23</v>
      </c>
      <c r="V54" s="242">
        <f ca="1">'Fixed Charges'!F63</f>
        <v>0.28000000000000003</v>
      </c>
      <c r="W54" s="242">
        <f t="shared" ca="1" si="47"/>
        <v>5.0000000000000017E-2</v>
      </c>
      <c r="X54" s="242"/>
      <c r="Z54" s="241">
        <v>12</v>
      </c>
      <c r="AA54" s="239" t="s">
        <v>15</v>
      </c>
      <c r="AB54" s="242">
        <f>APPROVED!G18</f>
        <v>1.47</v>
      </c>
      <c r="AC54" s="242">
        <f>'Fixed Charges'!G63</f>
        <v>1.97</v>
      </c>
      <c r="AD54" s="242">
        <f t="shared" si="48"/>
        <v>0.5</v>
      </c>
      <c r="AE54" s="234"/>
      <c r="AF54" s="234"/>
      <c r="AH54" s="239">
        <f>APPROVED!M18</f>
        <v>0.04</v>
      </c>
      <c r="AI54" s="242">
        <f>'F8-NTI'!D15</f>
        <v>0.1</v>
      </c>
      <c r="AJ54" s="318">
        <f t="shared" si="49"/>
        <v>6.0000000000000005E-2</v>
      </c>
      <c r="AK54" s="234"/>
      <c r="AL54" s="245">
        <v>12</v>
      </c>
      <c r="AM54" s="239" t="s">
        <v>15</v>
      </c>
      <c r="AN54" s="242">
        <f>APPROVED!O18</f>
        <v>10.56</v>
      </c>
      <c r="AO54" s="242">
        <f ca="1">'Fixed Charges'!I63</f>
        <v>13.02</v>
      </c>
      <c r="AP54" s="242">
        <f t="shared" ca="1" si="50"/>
        <v>2.4599999999999991</v>
      </c>
      <c r="AQ54" s="234"/>
      <c r="AR54" s="234"/>
      <c r="AS54" s="234"/>
      <c r="AT54" s="234"/>
      <c r="AU54" s="241"/>
      <c r="AV54" s="239"/>
      <c r="AW54" s="242"/>
      <c r="AX54" s="242"/>
      <c r="AY54" s="242"/>
    </row>
    <row r="55" spans="1:72" x14ac:dyDescent="0.3">
      <c r="A55" s="241">
        <v>13</v>
      </c>
      <c r="B55" s="239" t="s">
        <v>16</v>
      </c>
      <c r="C55" s="239">
        <f>APPROVED!E19</f>
        <v>37.479999999999997</v>
      </c>
      <c r="D55" s="242">
        <f>'Fixed Charges'!C64</f>
        <v>65.63</v>
      </c>
      <c r="E55" s="318">
        <f t="shared" si="52"/>
        <v>28.15</v>
      </c>
      <c r="F55" s="234"/>
      <c r="G55" s="245">
        <v>13</v>
      </c>
      <c r="H55" s="239" t="s">
        <v>16</v>
      </c>
      <c r="I55" s="239">
        <f>APPROVED!C19</f>
        <v>11.16</v>
      </c>
      <c r="J55" s="242">
        <f>'Fixed Charges'!D64</f>
        <v>11.14</v>
      </c>
      <c r="K55" s="318">
        <f t="shared" si="45"/>
        <v>-1.9999999999999574E-2</v>
      </c>
      <c r="L55" s="234"/>
      <c r="M55" s="245">
        <v>13</v>
      </c>
      <c r="N55" s="239" t="s">
        <v>16</v>
      </c>
      <c r="O55" s="242">
        <f>APPROVED!I19</f>
        <v>6.28</v>
      </c>
      <c r="P55" s="242">
        <f>'Fixed Charges'!E64</f>
        <v>13.37</v>
      </c>
      <c r="Q55" s="242">
        <f t="shared" si="53"/>
        <v>7.089999999999999</v>
      </c>
      <c r="S55" s="241">
        <v>13</v>
      </c>
      <c r="T55" s="239" t="s">
        <v>16</v>
      </c>
      <c r="U55" s="243">
        <f>APPROVED!K19</f>
        <v>2.13</v>
      </c>
      <c r="V55" s="242">
        <f ca="1">'Fixed Charges'!F64</f>
        <v>2.97</v>
      </c>
      <c r="W55" s="242">
        <f t="shared" ca="1" si="47"/>
        <v>0.8400000000000003</v>
      </c>
      <c r="X55" s="242"/>
      <c r="Z55" s="241">
        <v>13</v>
      </c>
      <c r="AA55" s="239" t="s">
        <v>16</v>
      </c>
      <c r="AB55" s="242">
        <f>APPROVED!G19</f>
        <v>32.119999999999997</v>
      </c>
      <c r="AC55" s="242">
        <f>'Fixed Charges'!G64</f>
        <v>43.03</v>
      </c>
      <c r="AD55" s="242">
        <f t="shared" si="48"/>
        <v>10.910000000000004</v>
      </c>
      <c r="AE55" s="234"/>
      <c r="AF55" s="234"/>
      <c r="AH55" s="239">
        <f>APPROVED!M19</f>
        <v>0.31</v>
      </c>
      <c r="AI55" s="242">
        <f>'F8-NTI'!D16</f>
        <v>1.38</v>
      </c>
      <c r="AJ55" s="318">
        <f t="shared" si="49"/>
        <v>1.0699999999999998</v>
      </c>
      <c r="AK55" s="234"/>
      <c r="AL55" s="245">
        <v>13</v>
      </c>
      <c r="AM55" s="239" t="s">
        <v>16</v>
      </c>
      <c r="AN55" s="242">
        <f>APPROVED!O19</f>
        <v>88.85</v>
      </c>
      <c r="AO55" s="242">
        <f ca="1">'Fixed Charges'!I64</f>
        <v>134.76</v>
      </c>
      <c r="AP55" s="242">
        <f t="shared" ca="1" si="50"/>
        <v>45.91</v>
      </c>
      <c r="AQ55" s="234"/>
      <c r="AR55" s="234"/>
      <c r="AS55" s="234"/>
      <c r="AT55" s="234"/>
      <c r="AU55" s="241"/>
      <c r="AV55" s="239"/>
      <c r="AW55" s="242"/>
      <c r="AX55" s="242"/>
      <c r="AY55" s="242"/>
    </row>
    <row r="56" spans="1:72" x14ac:dyDescent="0.3">
      <c r="A56" s="241">
        <v>14</v>
      </c>
      <c r="B56" s="239" t="s">
        <v>17</v>
      </c>
      <c r="C56" s="239">
        <f>APPROVED!E20</f>
        <v>37.630000000000003</v>
      </c>
      <c r="D56" s="242">
        <f>'Fixed Charges'!C65</f>
        <v>66.16</v>
      </c>
      <c r="E56" s="318">
        <f t="shared" si="52"/>
        <v>28.529999999999994</v>
      </c>
      <c r="F56" s="234"/>
      <c r="G56" s="245">
        <v>14</v>
      </c>
      <c r="H56" s="239" t="s">
        <v>17</v>
      </c>
      <c r="I56" s="239">
        <f>APPROVED!C20</f>
        <v>51.47</v>
      </c>
      <c r="J56" s="242">
        <f>'Fixed Charges'!D65</f>
        <v>27.33</v>
      </c>
      <c r="K56" s="318">
        <f t="shared" si="45"/>
        <v>-24.14</v>
      </c>
      <c r="L56" s="234"/>
      <c r="M56" s="245">
        <v>14</v>
      </c>
      <c r="N56" s="239" t="s">
        <v>17</v>
      </c>
      <c r="O56" s="242">
        <f>APPROVED!I20</f>
        <v>36.79</v>
      </c>
      <c r="P56" s="242">
        <f>'Fixed Charges'!E65</f>
        <v>48.64</v>
      </c>
      <c r="Q56" s="242">
        <f t="shared" si="53"/>
        <v>11.850000000000001</v>
      </c>
      <c r="S56" s="241">
        <v>14</v>
      </c>
      <c r="T56" s="239" t="s">
        <v>17</v>
      </c>
      <c r="U56" s="243">
        <f>APPROVED!K20</f>
        <v>4.66</v>
      </c>
      <c r="V56" s="242">
        <f ca="1">'Fixed Charges'!F65</f>
        <v>5.4</v>
      </c>
      <c r="W56" s="242">
        <f t="shared" ca="1" si="47"/>
        <v>0.74000000000000021</v>
      </c>
      <c r="X56" s="242"/>
      <c r="Z56" s="241">
        <v>14</v>
      </c>
      <c r="AA56" s="239" t="s">
        <v>17</v>
      </c>
      <c r="AB56" s="242">
        <f>APPROVED!G20</f>
        <v>81.97</v>
      </c>
      <c r="AC56" s="242">
        <f>'Fixed Charges'!G65</f>
        <v>102.41</v>
      </c>
      <c r="AD56" s="242">
        <f t="shared" si="48"/>
        <v>20.439999999999998</v>
      </c>
      <c r="AE56" s="234"/>
      <c r="AF56" s="234"/>
      <c r="AH56" s="239">
        <f>APPROVED!M20</f>
        <v>0.19</v>
      </c>
      <c r="AI56" s="242">
        <f>'F8-NTI'!D17</f>
        <v>0.35</v>
      </c>
      <c r="AJ56" s="318">
        <f t="shared" si="49"/>
        <v>0.15999999999999998</v>
      </c>
      <c r="AK56" s="234"/>
      <c r="AL56" s="245">
        <v>14</v>
      </c>
      <c r="AM56" s="239" t="s">
        <v>17</v>
      </c>
      <c r="AN56" s="242">
        <f>APPROVED!O20</f>
        <v>212.33</v>
      </c>
      <c r="AO56" s="242">
        <f ca="1">'Fixed Charges'!I65</f>
        <v>249.59</v>
      </c>
      <c r="AP56" s="242">
        <f t="shared" ca="1" si="50"/>
        <v>37.259999999999991</v>
      </c>
      <c r="AQ56" s="234"/>
      <c r="AR56" s="234"/>
      <c r="AS56" s="234"/>
      <c r="AT56" s="234"/>
      <c r="AU56" s="241"/>
      <c r="AV56" s="239"/>
      <c r="AW56" s="242"/>
      <c r="AX56" s="242"/>
      <c r="AY56" s="242"/>
    </row>
    <row r="57" spans="1:72" x14ac:dyDescent="0.3">
      <c r="A57" s="241">
        <v>15</v>
      </c>
      <c r="B57" s="239" t="s">
        <v>18</v>
      </c>
      <c r="C57" s="239">
        <f>APPROVED!E21</f>
        <v>43.14</v>
      </c>
      <c r="D57" s="242">
        <f>'Fixed Charges'!C66</f>
        <v>48.04</v>
      </c>
      <c r="E57" s="318">
        <f t="shared" si="52"/>
        <v>4.8999999999999986</v>
      </c>
      <c r="F57" s="234"/>
      <c r="G57" s="245">
        <v>15</v>
      </c>
      <c r="H57" s="239" t="s">
        <v>18</v>
      </c>
      <c r="I57" s="239">
        <f>APPROVED!C21</f>
        <v>10.220000000000001</v>
      </c>
      <c r="J57" s="242">
        <f>'Fixed Charges'!D66</f>
        <v>9.14</v>
      </c>
      <c r="K57" s="318">
        <f t="shared" si="45"/>
        <v>-1.08</v>
      </c>
      <c r="L57" s="234"/>
      <c r="M57" s="245">
        <v>15</v>
      </c>
      <c r="N57" s="239" t="s">
        <v>18</v>
      </c>
      <c r="O57" s="242">
        <f>APPROVED!I21</f>
        <v>16.82</v>
      </c>
      <c r="P57" s="242">
        <f>'Fixed Charges'!E66</f>
        <v>21.11</v>
      </c>
      <c r="Q57" s="242">
        <f t="shared" si="53"/>
        <v>4.2899999999999991</v>
      </c>
      <c r="S57" s="241">
        <v>15</v>
      </c>
      <c r="T57" s="239" t="s">
        <v>18</v>
      </c>
      <c r="U57" s="243">
        <f>APPROVED!K21</f>
        <v>2.0099999999999998</v>
      </c>
      <c r="V57" s="242">
        <f ca="1">'Fixed Charges'!F66</f>
        <v>2.2400000000000002</v>
      </c>
      <c r="W57" s="242">
        <f t="shared" ca="1" si="47"/>
        <v>0.23000000000000043</v>
      </c>
      <c r="X57" s="242"/>
      <c r="Z57" s="241">
        <v>15</v>
      </c>
      <c r="AA57" s="239" t="s">
        <v>18</v>
      </c>
      <c r="AB57" s="242">
        <f>APPROVED!G21</f>
        <v>22.74</v>
      </c>
      <c r="AC57" s="242">
        <f>'Fixed Charges'!G66</f>
        <v>29.16</v>
      </c>
      <c r="AD57" s="242">
        <f t="shared" si="48"/>
        <v>6.4200000000000017</v>
      </c>
      <c r="AE57" s="234"/>
      <c r="AF57" s="234"/>
      <c r="AH57" s="239">
        <f>APPROVED!M21</f>
        <v>0.54</v>
      </c>
      <c r="AI57" s="242">
        <f>'F8-NTI'!D18</f>
        <v>0.27</v>
      </c>
      <c r="AJ57" s="318">
        <f t="shared" si="49"/>
        <v>-0.27</v>
      </c>
      <c r="AK57" s="234"/>
      <c r="AL57" s="245">
        <v>15</v>
      </c>
      <c r="AM57" s="239" t="s">
        <v>18</v>
      </c>
      <c r="AN57" s="242">
        <f>APPROVED!O21</f>
        <v>94.39</v>
      </c>
      <c r="AO57" s="242">
        <f ca="1">'Fixed Charges'!I66</f>
        <v>109.41999999999999</v>
      </c>
      <c r="AP57" s="242">
        <f t="shared" ca="1" si="50"/>
        <v>15.029999999999987</v>
      </c>
      <c r="AQ57" s="234"/>
      <c r="AR57" s="234"/>
      <c r="AS57" s="234"/>
      <c r="AT57" s="234"/>
      <c r="AU57" s="241"/>
      <c r="AV57" s="239"/>
      <c r="AW57" s="242"/>
      <c r="AX57" s="242"/>
      <c r="AY57" s="242"/>
    </row>
    <row r="58" spans="1:72" s="253" customFormat="1" x14ac:dyDescent="0.3">
      <c r="A58" s="250"/>
      <c r="B58" s="250" t="s">
        <v>19</v>
      </c>
      <c r="C58" s="251">
        <f>SUM(C44:C57)</f>
        <v>2068.7000000000003</v>
      </c>
      <c r="D58" s="251">
        <f>SUM(D44:D57)</f>
        <v>2959.1400000000003</v>
      </c>
      <c r="E58" s="321">
        <f>SUM(E44:E57)</f>
        <v>890.43999999999983</v>
      </c>
      <c r="F58" s="254"/>
      <c r="G58" s="249"/>
      <c r="H58" s="250" t="s">
        <v>19</v>
      </c>
      <c r="I58" s="251">
        <f>SUM(I44:I57)</f>
        <v>979.5</v>
      </c>
      <c r="J58" s="251">
        <f>SUM(J44:J57)</f>
        <v>802.79000000000008</v>
      </c>
      <c r="K58" s="321">
        <f>SUM(K44:K57)</f>
        <v>-176.71</v>
      </c>
      <c r="L58" s="254"/>
      <c r="M58" s="249"/>
      <c r="N58" s="250" t="s">
        <v>19</v>
      </c>
      <c r="O58" s="251">
        <f>SUM(O44:O57)</f>
        <v>678.98</v>
      </c>
      <c r="P58" s="251">
        <f>SUM(P44:P57)</f>
        <v>793.74</v>
      </c>
      <c r="Q58" s="251">
        <f>SUM(Q44:Q57)</f>
        <v>114.75999999999999</v>
      </c>
      <c r="S58" s="250"/>
      <c r="T58" s="250" t="s">
        <v>19</v>
      </c>
      <c r="U58" s="251">
        <f>SUM(U44:U57)</f>
        <v>300.54000000000008</v>
      </c>
      <c r="V58" s="251">
        <f ca="1">SUM(V44:V57)</f>
        <v>316.43999999999994</v>
      </c>
      <c r="W58" s="251">
        <f ca="1">SUM(W44:W57)</f>
        <v>15.899999999999991</v>
      </c>
      <c r="X58" s="251"/>
      <c r="Z58" s="250"/>
      <c r="AA58" s="250" t="s">
        <v>19</v>
      </c>
      <c r="AB58" s="251">
        <f>SUM(AB44:AB57)</f>
        <v>1951.2099999999998</v>
      </c>
      <c r="AC58" s="251">
        <f>SUM(AC44:AC57)</f>
        <v>2041.93</v>
      </c>
      <c r="AD58" s="251">
        <f>SUM(AD44:AD57)</f>
        <v>90.719999999999985</v>
      </c>
      <c r="AE58" s="254"/>
      <c r="AF58" s="254"/>
      <c r="AH58" s="250">
        <f>SUM(AH44:AH57)</f>
        <v>118.18</v>
      </c>
      <c r="AI58" s="250">
        <f t="shared" ref="AI58:AJ58" si="56">SUM(AI44:AI57)</f>
        <v>85.689999999999984</v>
      </c>
      <c r="AJ58" s="327">
        <f t="shared" si="56"/>
        <v>-32.490000000000009</v>
      </c>
      <c r="AL58" s="249"/>
      <c r="AM58" s="250" t="s">
        <v>19</v>
      </c>
      <c r="AN58" s="251">
        <f>SUM(AN44:AN57)</f>
        <v>5860.7500000000009</v>
      </c>
      <c r="AO58" s="251">
        <f ca="1">SUM(AO44:AO57)</f>
        <v>6828.35</v>
      </c>
      <c r="AP58" s="251">
        <f ca="1">SUM(AP44:AP57)</f>
        <v>967.59999999999945</v>
      </c>
      <c r="AQ58" s="254"/>
      <c r="AR58" s="254"/>
      <c r="AS58" s="254"/>
      <c r="AT58" s="254"/>
      <c r="AU58" s="241"/>
      <c r="AV58" s="239"/>
      <c r="AW58" s="242"/>
      <c r="AX58" s="242"/>
      <c r="AY58" s="242"/>
      <c r="BG58" s="376"/>
      <c r="BH58" s="376"/>
      <c r="BI58" s="376"/>
      <c r="BJ58" s="376"/>
      <c r="BK58" s="376"/>
      <c r="BL58" s="376"/>
      <c r="BM58" s="376"/>
      <c r="BN58" s="376"/>
      <c r="BO58" s="376"/>
      <c r="BP58" s="376"/>
      <c r="BQ58" s="376"/>
      <c r="BR58" s="376"/>
      <c r="BS58" s="376"/>
      <c r="BT58" s="376"/>
    </row>
    <row r="59" spans="1:72" x14ac:dyDescent="0.3">
      <c r="AU59" s="250"/>
      <c r="AV59" s="250"/>
      <c r="AW59" s="251"/>
      <c r="AX59" s="251"/>
      <c r="AY59" s="25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8"/>
  <sheetViews>
    <sheetView view="pageBreakPreview" zoomScale="96" zoomScaleNormal="80" zoomScaleSheetLayoutView="96" workbookViewId="0">
      <selection activeCell="Q18" sqref="Q18"/>
    </sheetView>
  </sheetViews>
  <sheetFormatPr defaultColWidth="9.140625" defaultRowHeight="15.75" x14ac:dyDescent="0.25"/>
  <cols>
    <col min="1" max="1" width="3.85546875" style="40" customWidth="1"/>
    <col min="2" max="2" width="4.42578125" style="40" bestFit="1" customWidth="1"/>
    <col min="3" max="3" width="27" style="40" customWidth="1"/>
    <col min="4" max="4" width="15.7109375" style="40" hidden="1" customWidth="1"/>
    <col min="5" max="5" width="14.42578125" style="40" hidden="1" customWidth="1"/>
    <col min="6" max="6" width="14" style="40" hidden="1" customWidth="1"/>
    <col min="7" max="7" width="14.140625" style="40" hidden="1" customWidth="1"/>
    <col min="8" max="8" width="15" style="40" hidden="1" customWidth="1"/>
    <col min="9" max="9" width="15.28515625" style="40" hidden="1" customWidth="1"/>
    <col min="10" max="10" width="16" style="40" hidden="1" customWidth="1"/>
    <col min="11" max="13" width="11.7109375" style="40" hidden="1" customWidth="1"/>
    <col min="14" max="14" width="14.140625" style="40" hidden="1" customWidth="1"/>
    <col min="15" max="15" width="15.140625" style="40" hidden="1" customWidth="1"/>
    <col min="16" max="16" width="13.7109375" style="40" hidden="1" customWidth="1"/>
    <col min="17" max="17" width="12.140625" style="61" customWidth="1"/>
    <col min="18" max="18" width="9.140625" style="40"/>
    <col min="19" max="19" width="13.140625" style="61" customWidth="1"/>
    <col min="20" max="20" width="11.7109375" style="40" customWidth="1"/>
    <col min="21" max="21" width="14.140625" style="61" customWidth="1"/>
    <col min="22" max="22" width="11.7109375" style="40" hidden="1" customWidth="1"/>
    <col min="23" max="16384" width="9.140625" style="40"/>
  </cols>
  <sheetData>
    <row r="1" spans="1:22" ht="20.25" customHeight="1" x14ac:dyDescent="0.25">
      <c r="A1" s="83"/>
      <c r="B1" s="153"/>
      <c r="C1" s="83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Q1" s="148" t="s">
        <v>300</v>
      </c>
    </row>
    <row r="2" spans="1:22" s="61" customFormat="1" ht="94.5" x14ac:dyDescent="0.25">
      <c r="A2" s="79"/>
      <c r="B2" s="151" t="s">
        <v>1</v>
      </c>
      <c r="C2" s="152" t="s">
        <v>21</v>
      </c>
      <c r="D2" s="150" t="s">
        <v>22</v>
      </c>
      <c r="E2" s="60" t="s">
        <v>108</v>
      </c>
      <c r="F2" s="60" t="s">
        <v>109</v>
      </c>
      <c r="G2" s="60" t="s">
        <v>110</v>
      </c>
      <c r="H2" s="60" t="s">
        <v>111</v>
      </c>
      <c r="I2" s="60" t="s">
        <v>112</v>
      </c>
      <c r="J2" s="60" t="s">
        <v>23</v>
      </c>
      <c r="K2" s="62" t="s">
        <v>101</v>
      </c>
      <c r="L2" s="62" t="s">
        <v>102</v>
      </c>
      <c r="M2" s="62" t="s">
        <v>100</v>
      </c>
      <c r="N2" s="63" t="s">
        <v>76</v>
      </c>
      <c r="O2" s="74" t="s">
        <v>89</v>
      </c>
      <c r="P2" s="82" t="s">
        <v>132</v>
      </c>
      <c r="Q2" s="82" t="s">
        <v>139</v>
      </c>
      <c r="R2" s="82" t="s">
        <v>144</v>
      </c>
      <c r="S2" s="82" t="s">
        <v>142</v>
      </c>
      <c r="T2" s="82" t="s">
        <v>145</v>
      </c>
      <c r="U2" s="82" t="s">
        <v>146</v>
      </c>
      <c r="V2" s="82" t="s">
        <v>147</v>
      </c>
    </row>
    <row r="3" spans="1:22" ht="16.5" x14ac:dyDescent="0.25">
      <c r="B3" s="139">
        <v>1</v>
      </c>
      <c r="C3" s="42" t="s">
        <v>4</v>
      </c>
      <c r="D3" s="43">
        <v>1621.73</v>
      </c>
      <c r="E3" s="43">
        <v>12.63</v>
      </c>
      <c r="F3" s="43">
        <v>11.31</v>
      </c>
      <c r="G3" s="43">
        <v>10.25</v>
      </c>
      <c r="H3" s="43">
        <v>10.23</v>
      </c>
      <c r="I3" s="43">
        <v>8.81</v>
      </c>
      <c r="J3" s="64">
        <f>SUM(D3:I3)</f>
        <v>1674.96</v>
      </c>
      <c r="K3" s="64">
        <v>33.130000000000003</v>
      </c>
      <c r="L3" s="64">
        <v>37.57</v>
      </c>
      <c r="M3" s="64">
        <v>55.13</v>
      </c>
      <c r="N3" s="64">
        <v>73.33</v>
      </c>
      <c r="O3" s="77">
        <f t="shared" ref="O3:O17" si="0">SUM(J3:N3)</f>
        <v>1874.1200000000001</v>
      </c>
      <c r="P3" s="80">
        <f>'Dep''n 23-27'!C5</f>
        <v>28.14</v>
      </c>
      <c r="Q3" s="84">
        <f>O3+P3</f>
        <v>1902.2600000000002</v>
      </c>
      <c r="R3" s="80">
        <f>'Depn. Cal''n'!L35</f>
        <v>29.19</v>
      </c>
      <c r="S3" s="84">
        <f>Q3+R3</f>
        <v>1931.4500000000003</v>
      </c>
      <c r="T3" s="80">
        <f>'Depn. Cal''n'!L55</f>
        <v>30.5</v>
      </c>
      <c r="U3" s="84">
        <f>S3+T3</f>
        <v>1961.9500000000003</v>
      </c>
      <c r="V3" s="80">
        <f>'Depn. Cal''n'!L74</f>
        <v>34.56</v>
      </c>
    </row>
    <row r="4" spans="1:22" ht="16.5" x14ac:dyDescent="0.25">
      <c r="B4" s="139">
        <v>2</v>
      </c>
      <c r="C4" s="42" t="s">
        <v>5</v>
      </c>
      <c r="D4" s="43">
        <v>408.84</v>
      </c>
      <c r="E4" s="43">
        <v>181.69</v>
      </c>
      <c r="F4" s="43">
        <v>181.69</v>
      </c>
      <c r="G4" s="43">
        <v>181.69</v>
      </c>
      <c r="H4" s="43">
        <v>181.69</v>
      </c>
      <c r="I4" s="43">
        <v>181.69</v>
      </c>
      <c r="J4" s="64">
        <f t="shared" ref="J4:J17" si="1">SUM(D4:I4)</f>
        <v>1317.2900000000002</v>
      </c>
      <c r="K4" s="64">
        <v>130.19</v>
      </c>
      <c r="L4" s="64">
        <v>129.57</v>
      </c>
      <c r="M4" s="64">
        <v>128.96</v>
      </c>
      <c r="N4" s="64">
        <v>126.12</v>
      </c>
      <c r="O4" s="77">
        <f t="shared" si="0"/>
        <v>1832.13</v>
      </c>
      <c r="P4" s="80">
        <f>'Dep''n 23-27'!C6</f>
        <v>124.92</v>
      </c>
      <c r="Q4" s="84">
        <f t="shared" ref="Q4:Q16" si="2">O4+P4</f>
        <v>1957.0500000000002</v>
      </c>
      <c r="R4" s="80">
        <f>'Depn. Cal''n'!L36</f>
        <v>22.51</v>
      </c>
      <c r="S4" s="84">
        <f t="shared" ref="S4:S17" si="3">Q4+R4</f>
        <v>1979.5600000000002</v>
      </c>
      <c r="T4" s="80">
        <f>'Depn. Cal''n'!L56</f>
        <v>22.63</v>
      </c>
      <c r="U4" s="84">
        <f t="shared" ref="U4:U17" si="4">S4+T4</f>
        <v>2002.1900000000003</v>
      </c>
      <c r="V4" s="80">
        <f>'Depn. Cal''n'!L75</f>
        <v>23.86</v>
      </c>
    </row>
    <row r="5" spans="1:22" ht="16.5" x14ac:dyDescent="0.25">
      <c r="B5" s="139">
        <v>3</v>
      </c>
      <c r="C5" s="42" t="s">
        <v>6</v>
      </c>
      <c r="D5" s="43">
        <v>0</v>
      </c>
      <c r="E5" s="43">
        <v>0</v>
      </c>
      <c r="F5" s="43">
        <v>0</v>
      </c>
      <c r="G5" s="43">
        <v>0</v>
      </c>
      <c r="H5" s="43">
        <v>0</v>
      </c>
      <c r="I5" s="43">
        <v>0</v>
      </c>
      <c r="J5" s="64">
        <f t="shared" si="1"/>
        <v>0</v>
      </c>
      <c r="K5" s="64">
        <v>245.43</v>
      </c>
      <c r="L5" s="64">
        <v>254.71</v>
      </c>
      <c r="M5" s="64">
        <v>259.07</v>
      </c>
      <c r="N5" s="64">
        <v>261.87</v>
      </c>
      <c r="O5" s="77">
        <f t="shared" si="0"/>
        <v>1021.08</v>
      </c>
      <c r="P5" s="80">
        <f>'Dep''n 23-27'!C7</f>
        <v>258.69</v>
      </c>
      <c r="Q5" s="84">
        <f t="shared" si="2"/>
        <v>1279.77</v>
      </c>
      <c r="R5" s="80">
        <f>'Depn. Cal''n'!L37</f>
        <v>174.74</v>
      </c>
      <c r="S5" s="84">
        <f t="shared" si="3"/>
        <v>1454.51</v>
      </c>
      <c r="T5" s="80">
        <f>'Depn. Cal''n'!L57</f>
        <v>174.82</v>
      </c>
      <c r="U5" s="84">
        <f t="shared" si="4"/>
        <v>1629.33</v>
      </c>
      <c r="V5" s="80">
        <f>'Depn. Cal''n'!L76</f>
        <v>174.95</v>
      </c>
    </row>
    <row r="6" spans="1:22" ht="16.5" x14ac:dyDescent="0.25">
      <c r="B6" s="139">
        <v>4</v>
      </c>
      <c r="C6" s="42" t="s">
        <v>7</v>
      </c>
      <c r="D6" s="43"/>
      <c r="E6" s="43"/>
      <c r="F6" s="43"/>
      <c r="G6" s="43"/>
      <c r="H6" s="43"/>
      <c r="I6" s="43"/>
      <c r="J6" s="64"/>
      <c r="K6" s="64"/>
      <c r="L6" s="64"/>
      <c r="M6" s="64"/>
      <c r="N6" s="64"/>
      <c r="O6" s="77"/>
      <c r="P6" s="80"/>
      <c r="Q6" s="84">
        <f>'Depn. Cal''n'!G38</f>
        <v>111.05</v>
      </c>
      <c r="R6" s="80">
        <f>'Depn. Cal''n'!L38</f>
        <v>3.32</v>
      </c>
      <c r="S6" s="84"/>
      <c r="T6" s="80"/>
      <c r="U6" s="84"/>
      <c r="V6" s="80"/>
    </row>
    <row r="7" spans="1:22" ht="16.5" x14ac:dyDescent="0.25">
      <c r="B7" s="139">
        <v>4</v>
      </c>
      <c r="C7" s="42" t="s">
        <v>8</v>
      </c>
      <c r="D7" s="43">
        <v>636.88</v>
      </c>
      <c r="E7" s="43">
        <v>183.85</v>
      </c>
      <c r="F7" s="43">
        <v>184.28</v>
      </c>
      <c r="G7" s="43">
        <v>185.35</v>
      </c>
      <c r="H7" s="43">
        <v>184.1</v>
      </c>
      <c r="I7" s="43">
        <v>182.97</v>
      </c>
      <c r="J7" s="64">
        <f t="shared" si="1"/>
        <v>1557.4299999999998</v>
      </c>
      <c r="K7" s="64">
        <v>134.86000000000001</v>
      </c>
      <c r="L7" s="64">
        <v>134.69</v>
      </c>
      <c r="M7" s="64">
        <v>129.11000000000001</v>
      </c>
      <c r="N7" s="64">
        <v>128.08000000000001</v>
      </c>
      <c r="O7" s="77">
        <f t="shared" si="0"/>
        <v>2084.17</v>
      </c>
      <c r="P7" s="80">
        <f>'Dep''n 23-27'!C9</f>
        <v>17.489999999999998</v>
      </c>
      <c r="Q7" s="84">
        <f t="shared" si="2"/>
        <v>2101.66</v>
      </c>
      <c r="R7" s="80">
        <f>'Depn. Cal''n'!L39</f>
        <v>17.5</v>
      </c>
      <c r="S7" s="84">
        <f t="shared" si="3"/>
        <v>2119.16</v>
      </c>
      <c r="T7" s="80">
        <f>'Depn. Cal''n'!L58</f>
        <v>17.89</v>
      </c>
      <c r="U7" s="84">
        <f t="shared" si="4"/>
        <v>2137.0499999999997</v>
      </c>
      <c r="V7" s="80">
        <f>'Depn. Cal''n'!L78</f>
        <v>18.309999999999999</v>
      </c>
    </row>
    <row r="8" spans="1:22" ht="16.5" x14ac:dyDescent="0.25">
      <c r="B8" s="139">
        <v>5</v>
      </c>
      <c r="C8" s="42" t="s">
        <v>9</v>
      </c>
      <c r="D8" s="43">
        <v>0</v>
      </c>
      <c r="E8" s="43">
        <v>0</v>
      </c>
      <c r="F8" s="43">
        <v>0</v>
      </c>
      <c r="G8" s="43">
        <v>164.67</v>
      </c>
      <c r="H8" s="43">
        <v>171.01</v>
      </c>
      <c r="I8" s="43">
        <v>171.01</v>
      </c>
      <c r="J8" s="64">
        <f t="shared" si="1"/>
        <v>506.68999999999994</v>
      </c>
      <c r="K8" s="64">
        <v>189.85</v>
      </c>
      <c r="L8" s="64">
        <v>189.78</v>
      </c>
      <c r="M8" s="64">
        <v>196</v>
      </c>
      <c r="N8" s="64">
        <v>194.38</v>
      </c>
      <c r="O8" s="77">
        <f t="shared" si="0"/>
        <v>1276.6999999999998</v>
      </c>
      <c r="P8" s="80">
        <f>'Dep''n 23-27'!C10</f>
        <v>194.41</v>
      </c>
      <c r="Q8" s="84">
        <f t="shared" si="2"/>
        <v>1471.11</v>
      </c>
      <c r="R8" s="80">
        <f>'Depn. Cal''n'!L40</f>
        <v>113.12</v>
      </c>
      <c r="S8" s="84">
        <f t="shared" si="3"/>
        <v>1584.23</v>
      </c>
      <c r="T8" s="80">
        <f>'Depn. Cal''n'!L59</f>
        <v>113.37</v>
      </c>
      <c r="U8" s="84">
        <f t="shared" si="4"/>
        <v>1697.6</v>
      </c>
      <c r="V8" s="80">
        <f>'Depn. Cal''n'!L79</f>
        <v>116.31</v>
      </c>
    </row>
    <row r="9" spans="1:22" ht="16.5" x14ac:dyDescent="0.25">
      <c r="B9" s="139">
        <v>6</v>
      </c>
      <c r="C9" s="42" t="s">
        <v>10</v>
      </c>
      <c r="D9" s="43">
        <v>0</v>
      </c>
      <c r="E9" s="43">
        <v>0</v>
      </c>
      <c r="F9" s="43">
        <v>0</v>
      </c>
      <c r="G9" s="43">
        <v>0</v>
      </c>
      <c r="H9" s="43">
        <v>0</v>
      </c>
      <c r="I9" s="43">
        <v>0</v>
      </c>
      <c r="J9" s="64">
        <f t="shared" si="1"/>
        <v>0</v>
      </c>
      <c r="K9" s="64">
        <v>0</v>
      </c>
      <c r="L9" s="64">
        <v>125.05</v>
      </c>
      <c r="M9" s="64">
        <v>275.73</v>
      </c>
      <c r="N9" s="64">
        <v>357.29</v>
      </c>
      <c r="O9" s="77">
        <f t="shared" si="0"/>
        <v>758.07</v>
      </c>
      <c r="P9" s="80">
        <f>'Dep''n 23-27'!C11</f>
        <v>371.85</v>
      </c>
      <c r="Q9" s="84">
        <f t="shared" si="2"/>
        <v>1129.92</v>
      </c>
      <c r="R9" s="80">
        <f>'Depn. Cal''n'!L41</f>
        <v>247.18</v>
      </c>
      <c r="S9" s="84">
        <f t="shared" si="3"/>
        <v>1377.1000000000001</v>
      </c>
      <c r="T9" s="80">
        <f>'Depn. Cal''n'!L60</f>
        <v>247.98</v>
      </c>
      <c r="U9" s="84">
        <f t="shared" si="4"/>
        <v>1625.0800000000002</v>
      </c>
      <c r="V9" s="80">
        <f>'Depn. Cal''n'!L80</f>
        <v>267.02999999999997</v>
      </c>
    </row>
    <row r="10" spans="1:22" ht="45" x14ac:dyDescent="0.25">
      <c r="B10" s="139">
        <v>7</v>
      </c>
      <c r="C10" s="42" t="s">
        <v>24</v>
      </c>
      <c r="D10" s="43">
        <v>635.5</v>
      </c>
      <c r="E10" s="43">
        <v>34.85</v>
      </c>
      <c r="F10" s="43">
        <v>31.93</v>
      </c>
      <c r="G10" s="43">
        <v>31.67</v>
      </c>
      <c r="H10" s="43">
        <v>34.18</v>
      </c>
      <c r="I10" s="43">
        <v>47.28</v>
      </c>
      <c r="J10" s="64">
        <f t="shared" si="1"/>
        <v>815.40999999999985</v>
      </c>
      <c r="K10" s="64">
        <v>87.97</v>
      </c>
      <c r="L10" s="64">
        <v>87.97</v>
      </c>
      <c r="M10" s="64">
        <v>87.97</v>
      </c>
      <c r="N10" s="64">
        <v>87.97</v>
      </c>
      <c r="O10" s="77">
        <f t="shared" si="0"/>
        <v>1167.29</v>
      </c>
      <c r="P10" s="80">
        <f>'Dep''n 23-27'!C12</f>
        <v>93.51</v>
      </c>
      <c r="Q10" s="84">
        <f t="shared" si="2"/>
        <v>1260.8</v>
      </c>
      <c r="R10" s="80">
        <f>'Depn. Cal''n'!L42</f>
        <v>58.92</v>
      </c>
      <c r="S10" s="84">
        <f t="shared" si="3"/>
        <v>1319.72</v>
      </c>
      <c r="T10" s="80">
        <f>'Depn. Cal''n'!L61</f>
        <v>59.08</v>
      </c>
      <c r="U10" s="84">
        <f t="shared" si="4"/>
        <v>1378.8</v>
      </c>
      <c r="V10" s="80">
        <f>'Depn. Cal''n'!L81</f>
        <v>59.07</v>
      </c>
    </row>
    <row r="11" spans="1:22" ht="16.5" x14ac:dyDescent="0.25">
      <c r="B11" s="139">
        <v>8</v>
      </c>
      <c r="C11" s="42" t="s">
        <v>25</v>
      </c>
      <c r="D11" s="43">
        <v>963.92</v>
      </c>
      <c r="E11" s="43">
        <v>113.91</v>
      </c>
      <c r="F11" s="43">
        <v>113.91</v>
      </c>
      <c r="G11" s="43">
        <v>113.91</v>
      </c>
      <c r="H11" s="43">
        <v>113.91</v>
      </c>
      <c r="I11" s="43">
        <v>113.91</v>
      </c>
      <c r="J11" s="64">
        <f t="shared" si="1"/>
        <v>1533.4700000000003</v>
      </c>
      <c r="K11" s="64">
        <v>86.43</v>
      </c>
      <c r="L11" s="64">
        <v>86.43</v>
      </c>
      <c r="M11" s="64">
        <v>86.43</v>
      </c>
      <c r="N11" s="64">
        <v>86.43</v>
      </c>
      <c r="O11" s="77">
        <f t="shared" si="0"/>
        <v>1879.1900000000005</v>
      </c>
      <c r="P11" s="80">
        <f>'Dep''n 23-27'!C13</f>
        <v>58.14</v>
      </c>
      <c r="Q11" s="84">
        <f t="shared" si="2"/>
        <v>1937.3300000000006</v>
      </c>
      <c r="R11" s="80">
        <f>'Depn. Cal''n'!L43</f>
        <v>58.72</v>
      </c>
      <c r="S11" s="84">
        <f t="shared" si="3"/>
        <v>1996.0500000000006</v>
      </c>
      <c r="T11" s="80">
        <f>'Depn. Cal''n'!L62</f>
        <v>59.13</v>
      </c>
      <c r="U11" s="84">
        <f t="shared" si="4"/>
        <v>2055.1800000000007</v>
      </c>
      <c r="V11" s="80">
        <f>'Depn. Cal''n'!L82</f>
        <v>59.13</v>
      </c>
    </row>
    <row r="12" spans="1:22" ht="45" x14ac:dyDescent="0.25">
      <c r="B12" s="139">
        <v>9</v>
      </c>
      <c r="C12" s="44" t="s">
        <v>26</v>
      </c>
      <c r="D12" s="43">
        <v>58.04</v>
      </c>
      <c r="E12" s="43">
        <v>4</v>
      </c>
      <c r="F12" s="43">
        <v>4.01</v>
      </c>
      <c r="G12" s="43">
        <v>4</v>
      </c>
      <c r="H12" s="43">
        <v>3.94</v>
      </c>
      <c r="I12" s="43">
        <v>3.91</v>
      </c>
      <c r="J12" s="64">
        <f t="shared" si="1"/>
        <v>77.899999999999991</v>
      </c>
      <c r="K12" s="64">
        <v>3.36</v>
      </c>
      <c r="L12" s="64">
        <v>3.4</v>
      </c>
      <c r="M12" s="64">
        <v>3.47</v>
      </c>
      <c r="N12" s="64">
        <v>4.04</v>
      </c>
      <c r="O12" s="77">
        <f t="shared" si="0"/>
        <v>92.17</v>
      </c>
      <c r="P12" s="80">
        <f>'Dep''n 23-27'!C14</f>
        <v>1.03</v>
      </c>
      <c r="Q12" s="84">
        <f t="shared" si="2"/>
        <v>93.2</v>
      </c>
      <c r="R12" s="80">
        <f>'Depn. Cal''n'!L44</f>
        <v>1.04</v>
      </c>
      <c r="S12" s="84">
        <f t="shared" si="3"/>
        <v>94.240000000000009</v>
      </c>
      <c r="T12" s="80">
        <f>'Depn. Cal''n'!L63</f>
        <v>1.04</v>
      </c>
      <c r="U12" s="84">
        <f t="shared" si="4"/>
        <v>95.280000000000015</v>
      </c>
      <c r="V12" s="80">
        <f>'Depn. Cal''n'!L83</f>
        <v>1.04</v>
      </c>
    </row>
    <row r="13" spans="1:22" ht="16.5" x14ac:dyDescent="0.25">
      <c r="B13" s="139">
        <v>10</v>
      </c>
      <c r="C13" s="42" t="s">
        <v>27</v>
      </c>
      <c r="D13" s="43">
        <v>14.58</v>
      </c>
      <c r="E13" s="43">
        <v>0.03</v>
      </c>
      <c r="F13" s="43">
        <v>0.03</v>
      </c>
      <c r="G13" s="43">
        <v>0.9</v>
      </c>
      <c r="H13" s="43">
        <v>0.89</v>
      </c>
      <c r="I13" s="43">
        <v>0.89</v>
      </c>
      <c r="J13" s="64">
        <f t="shared" si="1"/>
        <v>17.32</v>
      </c>
      <c r="K13" s="64">
        <v>0.9</v>
      </c>
      <c r="L13" s="64">
        <v>0.9</v>
      </c>
      <c r="M13" s="64">
        <v>0.9</v>
      </c>
      <c r="N13" s="64">
        <v>0.9</v>
      </c>
      <c r="O13" s="77">
        <f t="shared" si="0"/>
        <v>20.919999999999995</v>
      </c>
      <c r="P13" s="80">
        <f>'Dep''n 23-27'!C15</f>
        <v>0.34</v>
      </c>
      <c r="Q13" s="84">
        <f t="shared" si="2"/>
        <v>21.259999999999994</v>
      </c>
      <c r="R13" s="80">
        <f>'Depn. Cal''n'!L45</f>
        <v>0.34</v>
      </c>
      <c r="S13" s="84">
        <f t="shared" si="3"/>
        <v>21.599999999999994</v>
      </c>
      <c r="T13" s="80">
        <f>'Depn. Cal''n'!L64</f>
        <v>0.34</v>
      </c>
      <c r="U13" s="84">
        <f t="shared" si="4"/>
        <v>21.939999999999994</v>
      </c>
      <c r="V13" s="80">
        <f>'Depn. Cal''n'!L84</f>
        <v>0.34</v>
      </c>
    </row>
    <row r="14" spans="1:22" ht="16.5" x14ac:dyDescent="0.25">
      <c r="B14" s="139">
        <v>11</v>
      </c>
      <c r="C14" s="42" t="s">
        <v>28</v>
      </c>
      <c r="D14" s="43">
        <v>3.24</v>
      </c>
      <c r="E14" s="43">
        <v>1</v>
      </c>
      <c r="F14" s="43">
        <v>1</v>
      </c>
      <c r="G14" s="43">
        <v>1</v>
      </c>
      <c r="H14" s="43">
        <v>1</v>
      </c>
      <c r="I14" s="43">
        <v>1</v>
      </c>
      <c r="J14" s="64">
        <f t="shared" si="1"/>
        <v>8.24</v>
      </c>
      <c r="K14" s="64">
        <v>0.72</v>
      </c>
      <c r="L14" s="64">
        <v>0.71</v>
      </c>
      <c r="M14" s="64">
        <v>0.72</v>
      </c>
      <c r="N14" s="64">
        <v>0.72</v>
      </c>
      <c r="O14" s="77">
        <f t="shared" si="0"/>
        <v>11.110000000000003</v>
      </c>
      <c r="P14" s="80">
        <f>'Dep''n 23-27'!C16</f>
        <v>0.57999999999999996</v>
      </c>
      <c r="Q14" s="84">
        <f t="shared" si="2"/>
        <v>11.690000000000003</v>
      </c>
      <c r="R14" s="80">
        <f>'Depn. Cal''n'!L46</f>
        <v>0.57999999999999996</v>
      </c>
      <c r="S14" s="84">
        <f t="shared" si="3"/>
        <v>12.270000000000003</v>
      </c>
      <c r="T14" s="80">
        <f>'Depn. Cal''n'!L65</f>
        <v>0.57999999999999996</v>
      </c>
      <c r="U14" s="84">
        <f t="shared" si="4"/>
        <v>12.850000000000003</v>
      </c>
      <c r="V14" s="80">
        <f>'Depn. Cal''n'!L85</f>
        <v>0.57999999999999996</v>
      </c>
    </row>
    <row r="15" spans="1:22" ht="16.5" x14ac:dyDescent="0.25">
      <c r="B15" s="139">
        <v>12</v>
      </c>
      <c r="C15" s="42" t="s">
        <v>29</v>
      </c>
      <c r="D15" s="43">
        <v>89.68</v>
      </c>
      <c r="E15" s="43">
        <v>22.79</v>
      </c>
      <c r="F15" s="43">
        <v>22.79</v>
      </c>
      <c r="G15" s="43">
        <v>22.79</v>
      </c>
      <c r="H15" s="43">
        <v>22.79</v>
      </c>
      <c r="I15" s="43">
        <v>22.79</v>
      </c>
      <c r="J15" s="64">
        <f t="shared" si="1"/>
        <v>203.62999999999997</v>
      </c>
      <c r="K15" s="64">
        <v>32.92</v>
      </c>
      <c r="L15" s="64">
        <v>32.4</v>
      </c>
      <c r="M15" s="64">
        <v>20.05</v>
      </c>
      <c r="N15" s="65">
        <v>20.11</v>
      </c>
      <c r="O15" s="77">
        <f t="shared" si="0"/>
        <v>309.10999999999996</v>
      </c>
      <c r="P15" s="80">
        <f>'Dep''n 23-27'!C17</f>
        <v>13.44</v>
      </c>
      <c r="Q15" s="84">
        <f t="shared" si="2"/>
        <v>322.54999999999995</v>
      </c>
      <c r="R15" s="80">
        <f>'Depn. Cal''n'!L47</f>
        <v>11.14</v>
      </c>
      <c r="S15" s="84">
        <f t="shared" si="3"/>
        <v>333.68999999999994</v>
      </c>
      <c r="T15" s="80">
        <f>'Depn. Cal''n'!L66</f>
        <v>11.14</v>
      </c>
      <c r="U15" s="84">
        <f t="shared" si="4"/>
        <v>344.82999999999993</v>
      </c>
      <c r="V15" s="80">
        <f>'Depn. Cal''n'!L86</f>
        <v>11.14</v>
      </c>
    </row>
    <row r="16" spans="1:22" ht="16.5" x14ac:dyDescent="0.25">
      <c r="B16" s="139">
        <v>13</v>
      </c>
      <c r="C16" s="44" t="s">
        <v>30</v>
      </c>
      <c r="D16" s="43">
        <v>0</v>
      </c>
      <c r="E16" s="43">
        <v>0</v>
      </c>
      <c r="F16" s="43">
        <v>21.29</v>
      </c>
      <c r="G16" s="43">
        <v>58.65</v>
      </c>
      <c r="H16" s="43">
        <v>66.95</v>
      </c>
      <c r="I16" s="43">
        <v>66.95</v>
      </c>
      <c r="J16" s="64">
        <f t="shared" si="1"/>
        <v>213.83999999999997</v>
      </c>
      <c r="K16" s="64">
        <v>81.27</v>
      </c>
      <c r="L16" s="64">
        <v>81.27</v>
      </c>
      <c r="M16" s="64">
        <v>81.41</v>
      </c>
      <c r="N16" s="64">
        <v>81.150000000000006</v>
      </c>
      <c r="O16" s="77">
        <f t="shared" si="0"/>
        <v>538.93999999999994</v>
      </c>
      <c r="P16" s="80">
        <f>'Dep''n 23-27'!C18</f>
        <v>72.5</v>
      </c>
      <c r="Q16" s="84">
        <f t="shared" si="2"/>
        <v>611.43999999999994</v>
      </c>
      <c r="R16" s="80">
        <f>'Depn. Cal''n'!L48</f>
        <v>27.02</v>
      </c>
      <c r="S16" s="84">
        <f t="shared" si="3"/>
        <v>638.45999999999992</v>
      </c>
      <c r="T16" s="80">
        <f>'Depn. Cal''n'!L67</f>
        <v>27.14</v>
      </c>
      <c r="U16" s="84">
        <f t="shared" si="4"/>
        <v>665.59999999999991</v>
      </c>
      <c r="V16" s="80">
        <f>'Depn. Cal''n'!L87</f>
        <v>27.33</v>
      </c>
    </row>
    <row r="17" spans="2:22" ht="16.5" x14ac:dyDescent="0.25">
      <c r="B17" s="139">
        <v>14</v>
      </c>
      <c r="C17" s="44" t="s">
        <v>31</v>
      </c>
      <c r="D17" s="43">
        <v>0</v>
      </c>
      <c r="E17" s="43">
        <v>0</v>
      </c>
      <c r="F17" s="43">
        <v>0</v>
      </c>
      <c r="G17" s="43">
        <v>2.71</v>
      </c>
      <c r="H17" s="43">
        <v>10.56</v>
      </c>
      <c r="I17" s="43">
        <v>17.059999999999999</v>
      </c>
      <c r="J17" s="64">
        <f t="shared" si="1"/>
        <v>30.33</v>
      </c>
      <c r="K17" s="64">
        <v>12.34</v>
      </c>
      <c r="L17" s="64">
        <v>11.22</v>
      </c>
      <c r="M17" s="64">
        <v>11.23</v>
      </c>
      <c r="N17" s="64">
        <v>11.16</v>
      </c>
      <c r="O17" s="77">
        <f t="shared" si="0"/>
        <v>76.28</v>
      </c>
      <c r="P17" s="80">
        <f>'Dep''n 23-27'!C19</f>
        <v>9.5399999999999991</v>
      </c>
      <c r="Q17" s="84">
        <f>O17+P17</f>
        <v>85.82</v>
      </c>
      <c r="R17" s="80">
        <f>'Depn. Cal''n'!L49</f>
        <v>9.14</v>
      </c>
      <c r="S17" s="84">
        <f t="shared" si="3"/>
        <v>94.96</v>
      </c>
      <c r="T17" s="80">
        <f>'Depn. Cal''n'!L68</f>
        <v>9.14</v>
      </c>
      <c r="U17" s="84">
        <f t="shared" si="4"/>
        <v>104.1</v>
      </c>
      <c r="V17" s="80">
        <f>'Depn. Cal''n'!L88</f>
        <v>9.14</v>
      </c>
    </row>
    <row r="18" spans="2:22" s="61" customFormat="1" x14ac:dyDescent="0.25">
      <c r="B18" s="59"/>
      <c r="C18" s="60" t="s">
        <v>32</v>
      </c>
      <c r="D18" s="46">
        <f>SUM(D3:D17)</f>
        <v>4432.41</v>
      </c>
      <c r="E18" s="46">
        <f t="shared" ref="E18:V18" si="5">SUM(E3:E17)</f>
        <v>554.74999999999989</v>
      </c>
      <c r="F18" s="46">
        <f t="shared" si="5"/>
        <v>572.2399999999999</v>
      </c>
      <c r="G18" s="46">
        <f t="shared" si="5"/>
        <v>777.5899999999998</v>
      </c>
      <c r="H18" s="46">
        <f t="shared" si="5"/>
        <v>801.24999999999989</v>
      </c>
      <c r="I18" s="46">
        <f t="shared" si="5"/>
        <v>818.26999999999987</v>
      </c>
      <c r="J18" s="66">
        <f t="shared" si="5"/>
        <v>7956.5099999999993</v>
      </c>
      <c r="K18" s="66">
        <f t="shared" si="5"/>
        <v>1039.3700000000001</v>
      </c>
      <c r="L18" s="66">
        <f t="shared" si="5"/>
        <v>1175.6700000000003</v>
      </c>
      <c r="M18" s="66">
        <f t="shared" si="5"/>
        <v>1336.1800000000003</v>
      </c>
      <c r="N18" s="66">
        <f t="shared" si="5"/>
        <v>1433.5500000000002</v>
      </c>
      <c r="O18" s="78">
        <f t="shared" si="5"/>
        <v>12941.280000000004</v>
      </c>
      <c r="P18" s="66">
        <f t="shared" si="5"/>
        <v>1244.58</v>
      </c>
      <c r="Q18" s="66">
        <f t="shared" si="5"/>
        <v>14296.91</v>
      </c>
      <c r="R18" s="66">
        <f t="shared" si="5"/>
        <v>774.45999999999992</v>
      </c>
      <c r="S18" s="66">
        <f t="shared" si="5"/>
        <v>14957</v>
      </c>
      <c r="T18" s="66">
        <f t="shared" si="5"/>
        <v>774.78</v>
      </c>
      <c r="U18" s="66">
        <f t="shared" si="5"/>
        <v>15731.780000000002</v>
      </c>
      <c r="V18" s="66">
        <f t="shared" si="5"/>
        <v>802.79000000000008</v>
      </c>
    </row>
  </sheetData>
  <pageMargins left="0.7" right="0.7" top="0.75" bottom="0.75" header="0.3" footer="0.3"/>
  <pageSetup scale="77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B21"/>
  <sheetViews>
    <sheetView topLeftCell="F1" workbookViewId="0">
      <selection activeCell="F15" sqref="F15"/>
    </sheetView>
  </sheetViews>
  <sheetFormatPr defaultRowHeight="15.75" x14ac:dyDescent="0.25"/>
  <cols>
    <col min="1" max="1" width="9.28515625" style="19" bestFit="1" customWidth="1"/>
    <col min="2" max="2" width="22.140625" style="19" customWidth="1"/>
    <col min="3" max="3" width="10.7109375" style="19" customWidth="1"/>
    <col min="4" max="4" width="10.7109375" style="19" bestFit="1" customWidth="1"/>
    <col min="5" max="5" width="11" style="19" customWidth="1"/>
    <col min="6" max="6" width="13" style="19" customWidth="1"/>
    <col min="7" max="7" width="11.7109375" style="19" customWidth="1"/>
    <col min="8" max="8" width="10.42578125" style="19" customWidth="1"/>
    <col min="9" max="9" width="12.140625" style="19" bestFit="1" customWidth="1"/>
    <col min="10" max="10" width="10.5703125" style="19" customWidth="1"/>
    <col min="11" max="11" width="9.28515625" style="19" bestFit="1" customWidth="1"/>
    <col min="12" max="13" width="9.5703125" style="19" bestFit="1" customWidth="1"/>
    <col min="14" max="15" width="9.28515625" style="19" bestFit="1" customWidth="1"/>
    <col min="16" max="16" width="9.140625" style="102"/>
    <col min="17" max="17" width="9.28515625" style="19" bestFit="1" customWidth="1"/>
    <col min="18" max="18" width="9.5703125" style="19" bestFit="1" customWidth="1"/>
    <col min="19" max="20" width="9.140625" style="19"/>
    <col min="21" max="21" width="9.28515625" style="19" bestFit="1" customWidth="1"/>
    <col min="22" max="22" width="9.5703125" style="19" bestFit="1" customWidth="1"/>
    <col min="23" max="23" width="10.42578125" style="19" customWidth="1"/>
    <col min="24" max="26" width="10.5703125" style="19" customWidth="1"/>
    <col min="27" max="16384" width="9.140625" style="19"/>
  </cols>
  <sheetData>
    <row r="1" spans="1:28" x14ac:dyDescent="0.25">
      <c r="E1" s="369" t="s">
        <v>394</v>
      </c>
      <c r="I1" s="20" t="s">
        <v>136</v>
      </c>
      <c r="Q1" s="27" t="s">
        <v>137</v>
      </c>
      <c r="R1" s="27" t="s">
        <v>138</v>
      </c>
      <c r="S1" s="27" t="s">
        <v>137</v>
      </c>
      <c r="T1" s="27" t="s">
        <v>138</v>
      </c>
      <c r="U1" s="27" t="s">
        <v>137</v>
      </c>
      <c r="V1" s="27" t="s">
        <v>138</v>
      </c>
      <c r="W1" s="27" t="s">
        <v>137</v>
      </c>
      <c r="X1" s="27" t="s">
        <v>138</v>
      </c>
      <c r="Y1" s="27" t="s">
        <v>137</v>
      </c>
      <c r="Z1" s="27" t="s">
        <v>138</v>
      </c>
      <c r="AA1" s="27" t="s">
        <v>137</v>
      </c>
      <c r="AB1" s="27" t="s">
        <v>138</v>
      </c>
    </row>
    <row r="2" spans="1:28" s="461" customFormat="1" ht="63" x14ac:dyDescent="0.25">
      <c r="A2" s="458" t="s">
        <v>1</v>
      </c>
      <c r="B2" s="458" t="s">
        <v>2</v>
      </c>
      <c r="C2" s="458" t="s">
        <v>196</v>
      </c>
      <c r="D2" s="458" t="s">
        <v>395</v>
      </c>
      <c r="E2" s="458" t="s">
        <v>396</v>
      </c>
      <c r="F2" s="458" t="s">
        <v>461</v>
      </c>
      <c r="G2" s="458" t="s">
        <v>486</v>
      </c>
      <c r="H2" s="458" t="s">
        <v>487</v>
      </c>
      <c r="I2" s="458" t="s">
        <v>466</v>
      </c>
      <c r="J2" s="458" t="s">
        <v>469</v>
      </c>
      <c r="K2" s="458" t="s">
        <v>78</v>
      </c>
      <c r="L2" s="458" t="s">
        <v>467</v>
      </c>
      <c r="M2" s="459" t="s">
        <v>470</v>
      </c>
      <c r="N2" s="459" t="s">
        <v>19</v>
      </c>
      <c r="O2" s="459" t="s">
        <v>471</v>
      </c>
      <c r="P2" s="460"/>
      <c r="Q2" s="458" t="s">
        <v>468</v>
      </c>
      <c r="R2" s="458" t="s">
        <v>468</v>
      </c>
      <c r="S2" s="458" t="s">
        <v>489</v>
      </c>
      <c r="T2" s="458" t="s">
        <v>490</v>
      </c>
      <c r="U2" s="458" t="s">
        <v>493</v>
      </c>
      <c r="V2" s="458" t="s">
        <v>493</v>
      </c>
      <c r="W2" s="458" t="s">
        <v>491</v>
      </c>
      <c r="X2" s="458" t="s">
        <v>491</v>
      </c>
      <c r="Y2" s="458" t="s">
        <v>441</v>
      </c>
      <c r="Z2" s="458" t="s">
        <v>441</v>
      </c>
      <c r="AA2" s="458" t="s">
        <v>492</v>
      </c>
      <c r="AB2" s="458" t="s">
        <v>492</v>
      </c>
    </row>
    <row r="3" spans="1:28" x14ac:dyDescent="0.25">
      <c r="A3" s="23">
        <v>1</v>
      </c>
      <c r="B3" s="10" t="s">
        <v>4</v>
      </c>
      <c r="C3" s="307">
        <f>Variation!AN4</f>
        <v>331.98</v>
      </c>
      <c r="D3" s="307">
        <f ca="1">Variation!AO4</f>
        <v>484.3</v>
      </c>
      <c r="E3" s="307">
        <f ca="1">Variation!AP4</f>
        <v>152.32</v>
      </c>
      <c r="F3" s="307">
        <f>Variation!AQ4</f>
        <v>81.150000000000006</v>
      </c>
      <c r="G3" s="307">
        <f ca="1">Variation!AR4</f>
        <v>462.36405882352949</v>
      </c>
      <c r="H3" s="307">
        <f>Variation!AS4</f>
        <v>316.94325882352945</v>
      </c>
      <c r="I3" s="307">
        <v>2568.9506000000001</v>
      </c>
      <c r="J3" s="307">
        <v>670.53200000000004</v>
      </c>
      <c r="K3" s="377">
        <f>Variation!BJ39</f>
        <v>4.0704097238843682</v>
      </c>
      <c r="L3" s="377">
        <f ca="1">G3/I3*10</f>
        <v>1.7998168544912054</v>
      </c>
      <c r="M3" s="377">
        <f ca="1">G3/(I3+J3)*10</f>
        <v>1.4272774881505135</v>
      </c>
      <c r="N3" s="377">
        <f ca="1">K3+L3</f>
        <v>5.8702265783755738</v>
      </c>
      <c r="O3" s="377">
        <f ca="1">K3+M3</f>
        <v>5.4976872120348812</v>
      </c>
      <c r="P3" s="301"/>
      <c r="Q3" s="27">
        <v>2921.38</v>
      </c>
      <c r="R3" s="462">
        <v>3378.12</v>
      </c>
      <c r="S3" s="462">
        <f ca="1">Variation!AO24</f>
        <v>499.34999999999997</v>
      </c>
      <c r="T3" s="462">
        <f ca="1">Variation!AO44</f>
        <v>514.94000000000005</v>
      </c>
      <c r="U3" s="313">
        <f ca="1">S3/Q3*10</f>
        <v>1.709294922262766</v>
      </c>
      <c r="V3" s="313">
        <f ca="1">T3/R3*10</f>
        <v>1.5243389814453012</v>
      </c>
      <c r="W3" s="27">
        <v>4.077</v>
      </c>
      <c r="X3" s="27">
        <v>3.7370000000000001</v>
      </c>
      <c r="Y3" s="462">
        <f>W3*Q3/10</f>
        <v>1191.0466260000001</v>
      </c>
      <c r="Z3" s="462">
        <f>X3*R3/10</f>
        <v>1262.403444</v>
      </c>
      <c r="AA3" s="313">
        <f ca="1">U3+W3</f>
        <v>5.7862949222627655</v>
      </c>
      <c r="AB3" s="313">
        <f ca="1">V3+X3</f>
        <v>5.2613389814453013</v>
      </c>
    </row>
    <row r="4" spans="1:28" x14ac:dyDescent="0.25">
      <c r="A4" s="23">
        <v>2</v>
      </c>
      <c r="B4" s="10" t="s">
        <v>5</v>
      </c>
      <c r="C4" s="307">
        <f>Variation!AN5</f>
        <v>390.67</v>
      </c>
      <c r="D4" s="307">
        <f ca="1">Variation!AO5</f>
        <v>489.86</v>
      </c>
      <c r="E4" s="307">
        <f ca="1">Variation!AP5</f>
        <v>99.19</v>
      </c>
      <c r="F4" s="307">
        <f>Variation!AQ5</f>
        <v>94.91</v>
      </c>
      <c r="G4" s="307">
        <f ca="1">Variation!AR5</f>
        <v>489.86</v>
      </c>
      <c r="H4" s="307">
        <f>Variation!AS5</f>
        <v>390.67</v>
      </c>
      <c r="I4" s="307">
        <v>2903.2345999999966</v>
      </c>
      <c r="J4" s="307">
        <v>1038.472</v>
      </c>
      <c r="K4" s="377">
        <f>Variation!BJ40</f>
        <v>3.8176613395378198</v>
      </c>
      <c r="L4" s="377">
        <f t="shared" ref="L4:L17" ca="1" si="0">G4/I4*10</f>
        <v>1.6872904449402766</v>
      </c>
      <c r="M4" s="377">
        <f t="shared" ref="M4:M17" ca="1" si="1">G4/(I4+J4)*10</f>
        <v>1.2427611938443119</v>
      </c>
      <c r="N4" s="377">
        <f t="shared" ref="N4:N17" ca="1" si="2">K4+L4</f>
        <v>5.5049517844780969</v>
      </c>
      <c r="O4" s="377">
        <f t="shared" ref="O4:O9" ca="1" si="3">K4+M4</f>
        <v>5.0604225333821322</v>
      </c>
      <c r="P4" s="301"/>
      <c r="Q4" s="27">
        <v>2635.53</v>
      </c>
      <c r="R4" s="27">
        <v>3527.54</v>
      </c>
      <c r="S4" s="462">
        <f ca="1">Variation!AO25</f>
        <v>505.08</v>
      </c>
      <c r="T4" s="462">
        <f ca="1">Variation!AO45</f>
        <v>518.42999999999995</v>
      </c>
      <c r="U4" s="313">
        <f t="shared" ref="U4:U18" ca="1" si="4">S4/Q4*10</f>
        <v>1.9164266769871712</v>
      </c>
      <c r="V4" s="313">
        <f t="shared" ref="V4:V18" ca="1" si="5">T4/R4*10</f>
        <v>1.4696644120265112</v>
      </c>
      <c r="W4" s="27">
        <v>4.0819999999999999</v>
      </c>
      <c r="X4" s="27">
        <v>3.8530000000000002</v>
      </c>
      <c r="Y4" s="462">
        <f t="shared" ref="Y4:Y9" si="6">W4*Q4/10</f>
        <v>1075.8233460000001</v>
      </c>
      <c r="Z4" s="462">
        <f t="shared" ref="Z4:Z9" si="7">X4*R4/10</f>
        <v>1359.1611619999999</v>
      </c>
      <c r="AA4" s="313">
        <f t="shared" ref="AA4:AA17" ca="1" si="8">U4+W4</f>
        <v>5.9984266769871706</v>
      </c>
      <c r="AB4" s="313">
        <f t="shared" ref="AB4:AB17" ca="1" si="9">V4+X4</f>
        <v>5.3226644120265112</v>
      </c>
    </row>
    <row r="5" spans="1:28" x14ac:dyDescent="0.25">
      <c r="A5" s="23">
        <v>3</v>
      </c>
      <c r="B5" s="10" t="s">
        <v>6</v>
      </c>
      <c r="C5" s="307">
        <f>Variation!AN6</f>
        <v>1205.8</v>
      </c>
      <c r="D5" s="307">
        <f ca="1">Variation!AO6</f>
        <v>1299.5</v>
      </c>
      <c r="E5" s="307">
        <f ca="1">Variation!AP6</f>
        <v>93.700000000000045</v>
      </c>
      <c r="F5" s="307">
        <f>Variation!AQ6</f>
        <v>87.55</v>
      </c>
      <c r="G5" s="307">
        <f ca="1">Variation!AR6</f>
        <v>1299.5</v>
      </c>
      <c r="H5" s="307">
        <f>Variation!AS6</f>
        <v>1205.8</v>
      </c>
      <c r="I5" s="307">
        <v>5288.9838014172001</v>
      </c>
      <c r="J5" s="307">
        <v>523.48299999999995</v>
      </c>
      <c r="K5" s="377">
        <f>Variation!BJ41</f>
        <v>3.4556144387349055</v>
      </c>
      <c r="L5" s="377">
        <f t="shared" ca="1" si="0"/>
        <v>2.4569937227862089</v>
      </c>
      <c r="M5" s="377">
        <f t="shared" ca="1" si="1"/>
        <v>2.2357116941866315</v>
      </c>
      <c r="N5" s="377">
        <f t="shared" ca="1" si="2"/>
        <v>5.9126081615211143</v>
      </c>
      <c r="O5" s="377">
        <f t="shared" ca="1" si="3"/>
        <v>5.691326132921537</v>
      </c>
      <c r="P5" s="301"/>
      <c r="Q5" s="27">
        <v>4915.6866410000002</v>
      </c>
      <c r="R5" s="27">
        <v>5644.07</v>
      </c>
      <c r="S5" s="462">
        <f ca="1">Variation!AO26</f>
        <v>1311.3500000000001</v>
      </c>
      <c r="T5" s="462">
        <f ca="1">Variation!AO46</f>
        <v>1318.1699999999998</v>
      </c>
      <c r="U5" s="313">
        <f t="shared" ca="1" si="4"/>
        <v>2.6676842845564943</v>
      </c>
      <c r="V5" s="313">
        <f t="shared" ca="1" si="5"/>
        <v>2.3354954846414024</v>
      </c>
      <c r="W5" s="27">
        <v>3.4980000000000002</v>
      </c>
      <c r="X5" s="27">
        <v>3.4340000000000002</v>
      </c>
      <c r="Y5" s="462">
        <f t="shared" si="6"/>
        <v>1719.5071870218003</v>
      </c>
      <c r="Z5" s="462">
        <f t="shared" si="7"/>
        <v>1938.1736379999998</v>
      </c>
      <c r="AA5" s="313">
        <f t="shared" ca="1" si="8"/>
        <v>6.1656842845564945</v>
      </c>
      <c r="AB5" s="313">
        <f t="shared" ca="1" si="9"/>
        <v>5.7694954846414026</v>
      </c>
    </row>
    <row r="6" spans="1:28" x14ac:dyDescent="0.25">
      <c r="A6" s="23">
        <v>4</v>
      </c>
      <c r="B6" s="10" t="s">
        <v>7</v>
      </c>
      <c r="C6" s="307">
        <f>Variation!AN7</f>
        <v>19.63</v>
      </c>
      <c r="D6" s="307">
        <f ca="1">Variation!AO7</f>
        <v>27.920000000000005</v>
      </c>
      <c r="E6" s="307">
        <f ca="1">Variation!AP7</f>
        <v>8.2900000000000063</v>
      </c>
      <c r="F6" s="307">
        <f>Variation!AQ7</f>
        <v>20.58</v>
      </c>
      <c r="G6" s="307">
        <f ca="1">Variation!AR7</f>
        <v>6.7599247058823533</v>
      </c>
      <c r="H6" s="307">
        <f>Variation!AS7</f>
        <v>4.7527694117647057</v>
      </c>
      <c r="I6" s="307">
        <v>16.143190000000001</v>
      </c>
      <c r="J6" s="307">
        <v>3.12</v>
      </c>
      <c r="K6" s="377">
        <f>Variation!BJ42</f>
        <v>8.5318703971259708</v>
      </c>
      <c r="L6" s="377">
        <f t="shared" ca="1" si="0"/>
        <v>4.1874776335298991</v>
      </c>
      <c r="M6" s="377">
        <f t="shared" ca="1" si="1"/>
        <v>3.5092446816349487</v>
      </c>
      <c r="N6" s="377">
        <f t="shared" ca="1" si="2"/>
        <v>12.719348030655869</v>
      </c>
      <c r="O6" s="377">
        <f t="shared" ca="1" si="3"/>
        <v>12.041115078760919</v>
      </c>
      <c r="P6" s="301"/>
      <c r="Q6" s="27"/>
      <c r="R6" s="27"/>
      <c r="S6" s="462">
        <f>Variation!AO27</f>
        <v>0</v>
      </c>
      <c r="T6" s="462"/>
      <c r="U6" s="313"/>
      <c r="V6" s="313"/>
      <c r="W6" s="27"/>
      <c r="X6" s="27"/>
      <c r="Y6" s="462"/>
      <c r="Z6" s="462"/>
      <c r="AA6" s="313">
        <f t="shared" si="8"/>
        <v>0</v>
      </c>
      <c r="AB6" s="313">
        <f t="shared" si="9"/>
        <v>0</v>
      </c>
    </row>
    <row r="7" spans="1:28" x14ac:dyDescent="0.25">
      <c r="A7" s="23">
        <v>5</v>
      </c>
      <c r="B7" s="10" t="s">
        <v>8</v>
      </c>
      <c r="C7" s="307">
        <f>Variation!AN8</f>
        <v>388.92</v>
      </c>
      <c r="D7" s="307">
        <f ca="1">Variation!AO8</f>
        <v>434.69000000000005</v>
      </c>
      <c r="E7" s="307">
        <f ca="1">Variation!AP8</f>
        <v>45.770000000000039</v>
      </c>
      <c r="F7" s="307">
        <f>Variation!AQ8</f>
        <v>82.94</v>
      </c>
      <c r="G7" s="307">
        <f ca="1">Variation!AR8</f>
        <v>424.15516000000002</v>
      </c>
      <c r="H7" s="307">
        <f>Variation!AS8</f>
        <v>379.49440941176471</v>
      </c>
      <c r="I7" s="307">
        <v>2770.8157864080608</v>
      </c>
      <c r="J7" s="307">
        <v>669.35799999999995</v>
      </c>
      <c r="K7" s="377">
        <f>Variation!BJ43</f>
        <v>3.6999341944979713</v>
      </c>
      <c r="L7" s="377">
        <f t="shared" ca="1" si="0"/>
        <v>1.5307952339547348</v>
      </c>
      <c r="M7" s="377">
        <f t="shared" ca="1" si="1"/>
        <v>1.2329468984265097</v>
      </c>
      <c r="N7" s="377">
        <f t="shared" ca="1" si="2"/>
        <v>5.2307294284527064</v>
      </c>
      <c r="O7" s="377">
        <f t="shared" ca="1" si="3"/>
        <v>4.9328810929244806</v>
      </c>
      <c r="P7" s="301"/>
      <c r="Q7" s="27">
        <v>3214.9012069999999</v>
      </c>
      <c r="R7" s="27">
        <v>3529.25</v>
      </c>
      <c r="S7" s="462">
        <f ca="1">Variation!AO28</f>
        <v>443.6</v>
      </c>
      <c r="T7" s="462">
        <f ca="1">Variation!AO47</f>
        <v>453.20000000000005</v>
      </c>
      <c r="U7" s="313">
        <f t="shared" ca="1" si="4"/>
        <v>1.379824670923395</v>
      </c>
      <c r="V7" s="313">
        <f t="shared" ca="1" si="5"/>
        <v>1.2841255224197776</v>
      </c>
      <c r="W7" s="27">
        <v>3.18</v>
      </c>
      <c r="X7" s="27">
        <v>2.9209999999999998</v>
      </c>
      <c r="Y7" s="462">
        <f t="shared" si="6"/>
        <v>1022.3385838260001</v>
      </c>
      <c r="Z7" s="462">
        <f t="shared" si="7"/>
        <v>1030.8939249999999</v>
      </c>
      <c r="AA7" s="313">
        <f t="shared" ca="1" si="8"/>
        <v>4.5598246709233949</v>
      </c>
      <c r="AB7" s="313">
        <f t="shared" ca="1" si="9"/>
        <v>4.2051255224197774</v>
      </c>
    </row>
    <row r="8" spans="1:28" x14ac:dyDescent="0.25">
      <c r="A8" s="23">
        <v>6</v>
      </c>
      <c r="B8" s="10" t="s">
        <v>9</v>
      </c>
      <c r="C8" s="307">
        <f>Variation!AN9</f>
        <v>611.67999999999995</v>
      </c>
      <c r="D8" s="307">
        <f ca="1">Variation!AO9</f>
        <v>776.64</v>
      </c>
      <c r="E8" s="307">
        <f ca="1">Variation!AP9</f>
        <v>164.96000000000004</v>
      </c>
      <c r="F8" s="307">
        <f>Variation!AQ9</f>
        <v>76.37</v>
      </c>
      <c r="G8" s="307">
        <f ca="1">Variation!AR9</f>
        <v>697.78819764705884</v>
      </c>
      <c r="H8" s="307">
        <f>Variation!AS9</f>
        <v>549.57648941176467</v>
      </c>
      <c r="I8" s="307">
        <v>3262.15894386122</v>
      </c>
      <c r="J8" s="307">
        <v>539.03399999999999</v>
      </c>
      <c r="K8" s="377">
        <f>Variation!BJ44</f>
        <v>3.750291239709846</v>
      </c>
      <c r="L8" s="377">
        <f t="shared" ca="1" si="0"/>
        <v>2.1390380102728201</v>
      </c>
      <c r="M8" s="377">
        <f t="shared" ca="1" si="1"/>
        <v>1.8357084419352085</v>
      </c>
      <c r="N8" s="377">
        <f t="shared" ca="1" si="2"/>
        <v>5.8893292499826657</v>
      </c>
      <c r="O8" s="377">
        <f t="shared" ca="1" si="3"/>
        <v>5.5859996816450543</v>
      </c>
      <c r="P8" s="301"/>
      <c r="Q8" s="27">
        <v>4027.5089680000001</v>
      </c>
      <c r="R8" s="27">
        <v>4236.46</v>
      </c>
      <c r="S8" s="462">
        <f ca="1">Variation!AO29</f>
        <v>773.92</v>
      </c>
      <c r="T8" s="462">
        <f ca="1">Variation!AO48</f>
        <v>782.2</v>
      </c>
      <c r="U8" s="313">
        <f t="shared" ca="1" si="4"/>
        <v>1.9215847963321033</v>
      </c>
      <c r="V8" s="313">
        <f t="shared" ca="1" si="5"/>
        <v>1.8463528512012388</v>
      </c>
      <c r="W8" s="27">
        <v>2.9830000000000001</v>
      </c>
      <c r="X8" s="27">
        <v>2.7370000000000001</v>
      </c>
      <c r="Y8" s="462">
        <f t="shared" si="6"/>
        <v>1201.4059251543999</v>
      </c>
      <c r="Z8" s="462">
        <f t="shared" si="7"/>
        <v>1159.519102</v>
      </c>
      <c r="AA8" s="313">
        <f t="shared" ca="1" si="8"/>
        <v>4.9045847963321032</v>
      </c>
      <c r="AB8" s="313">
        <f t="shared" ca="1" si="9"/>
        <v>4.5833528512012389</v>
      </c>
    </row>
    <row r="9" spans="1:28" x14ac:dyDescent="0.25">
      <c r="A9" s="23">
        <v>7</v>
      </c>
      <c r="B9" s="10" t="s">
        <v>10</v>
      </c>
      <c r="C9" s="307">
        <f>Variation!AN10</f>
        <v>1288.17</v>
      </c>
      <c r="D9" s="307">
        <f ca="1">Variation!AO10</f>
        <v>1633.61</v>
      </c>
      <c r="E9" s="307">
        <f ca="1">Variation!AP10</f>
        <v>345.43999999999983</v>
      </c>
      <c r="F9" s="307">
        <f>Variation!AQ10</f>
        <v>62.86</v>
      </c>
      <c r="G9" s="307">
        <f ca="1">Variation!AR10</f>
        <v>1208.1026423529411</v>
      </c>
      <c r="H9" s="307">
        <f>Variation!AS10</f>
        <v>952.63960235294121</v>
      </c>
      <c r="I9" s="307">
        <v>4801.3670000000002</v>
      </c>
      <c r="J9" s="307">
        <v>638.46500000000003</v>
      </c>
      <c r="K9" s="377">
        <f>Variation!BJ45</f>
        <v>3.9580123692356808</v>
      </c>
      <c r="L9" s="377">
        <f t="shared" ca="1" si="0"/>
        <v>2.5161639223848979</v>
      </c>
      <c r="M9" s="377">
        <f t="shared" ca="1" si="1"/>
        <v>2.2208455010245558</v>
      </c>
      <c r="N9" s="377">
        <f t="shared" ca="1" si="2"/>
        <v>6.4741762916205783</v>
      </c>
      <c r="O9" s="377">
        <f t="shared" ca="1" si="3"/>
        <v>6.1788578702602361</v>
      </c>
      <c r="P9" s="301"/>
      <c r="Q9" s="27">
        <v>6275.4290000000001</v>
      </c>
      <c r="R9" s="27">
        <v>7361.1</v>
      </c>
      <c r="S9" s="462">
        <f ca="1">Variation!AO30</f>
        <v>1646.6299999999999</v>
      </c>
      <c r="T9" s="462">
        <f ca="1">Variation!AO49</f>
        <v>1718.7099999999998</v>
      </c>
      <c r="U9" s="313">
        <f t="shared" ca="1" si="4"/>
        <v>2.6239321646376683</v>
      </c>
      <c r="V9" s="313">
        <f t="shared" ca="1" si="5"/>
        <v>2.3348548450639166</v>
      </c>
      <c r="W9" s="27">
        <v>3.782</v>
      </c>
      <c r="X9" s="27">
        <v>3.677</v>
      </c>
      <c r="Y9" s="462">
        <f t="shared" si="6"/>
        <v>2373.3672477999999</v>
      </c>
      <c r="Z9" s="462">
        <f t="shared" si="7"/>
        <v>2706.6764700000003</v>
      </c>
      <c r="AA9" s="313">
        <f t="shared" ca="1" si="8"/>
        <v>6.4059321646376688</v>
      </c>
      <c r="AB9" s="313">
        <f t="shared" ca="1" si="9"/>
        <v>6.0118548450639171</v>
      </c>
    </row>
    <row r="10" spans="1:28" x14ac:dyDescent="0.25">
      <c r="A10" s="23">
        <v>8</v>
      </c>
      <c r="B10" s="10" t="s">
        <v>11</v>
      </c>
      <c r="C10" s="307">
        <f>Variation!AN11</f>
        <v>284.05</v>
      </c>
      <c r="D10" s="307">
        <f ca="1">Variation!AO11</f>
        <v>386.81</v>
      </c>
      <c r="E10" s="307">
        <f ca="1">Variation!AP11</f>
        <v>102.75999999999999</v>
      </c>
      <c r="F10" s="307"/>
      <c r="G10" s="307">
        <f ca="1">Variation!AR11</f>
        <v>386.81</v>
      </c>
      <c r="H10" s="307">
        <f>Variation!AS11</f>
        <v>284.05</v>
      </c>
      <c r="I10" s="10">
        <v>2017.62</v>
      </c>
      <c r="J10" s="10"/>
      <c r="K10" s="377"/>
      <c r="L10" s="377">
        <f t="shared" ca="1" si="0"/>
        <v>1.917159821968458</v>
      </c>
      <c r="M10" s="377">
        <f t="shared" ca="1" si="1"/>
        <v>1.917159821968458</v>
      </c>
      <c r="N10" s="377">
        <f t="shared" ca="1" si="2"/>
        <v>1.917159821968458</v>
      </c>
      <c r="O10" s="10"/>
      <c r="P10" s="55"/>
      <c r="Q10" s="27">
        <v>2023.41374</v>
      </c>
      <c r="R10" s="27">
        <v>1525.0851100000002</v>
      </c>
      <c r="S10" s="462">
        <f ca="1">Variation!AO31</f>
        <v>394.22</v>
      </c>
      <c r="T10" s="462">
        <f ca="1">Variation!AO50</f>
        <v>401.23</v>
      </c>
      <c r="U10" s="313">
        <f t="shared" ca="1" si="4"/>
        <v>1.9482916034760152</v>
      </c>
      <c r="V10" s="313">
        <f t="shared" ca="1" si="5"/>
        <v>2.6308695650434877</v>
      </c>
      <c r="W10" s="27"/>
      <c r="X10" s="27"/>
      <c r="Y10" s="27"/>
      <c r="Z10" s="27"/>
      <c r="AA10" s="313">
        <f t="shared" ca="1" si="8"/>
        <v>1.9482916034760152</v>
      </c>
      <c r="AB10" s="313">
        <f t="shared" ca="1" si="9"/>
        <v>2.6308695650434877</v>
      </c>
    </row>
    <row r="11" spans="1:28" x14ac:dyDescent="0.25">
      <c r="A11" s="23">
        <v>9</v>
      </c>
      <c r="B11" s="10" t="s">
        <v>12</v>
      </c>
      <c r="C11" s="307">
        <f>Variation!AN12</f>
        <v>344.46</v>
      </c>
      <c r="D11" s="307">
        <f ca="1">Variation!AO12</f>
        <v>518.04000000000008</v>
      </c>
      <c r="E11" s="307">
        <f ca="1">Variation!AP12</f>
        <v>173.5800000000001</v>
      </c>
      <c r="F11" s="307"/>
      <c r="G11" s="307">
        <f ca="1">Variation!AR12</f>
        <v>518.04000000000008</v>
      </c>
      <c r="H11" s="307">
        <f>Variation!AS12</f>
        <v>344.46</v>
      </c>
      <c r="I11" s="307">
        <v>2190.017769223</v>
      </c>
      <c r="J11" s="10"/>
      <c r="K11" s="377"/>
      <c r="L11" s="377">
        <f t="shared" ca="1" si="0"/>
        <v>2.3654602591822638</v>
      </c>
      <c r="M11" s="377">
        <f t="shared" ca="1" si="1"/>
        <v>2.3654602591822638</v>
      </c>
      <c r="N11" s="377">
        <f t="shared" ca="1" si="2"/>
        <v>2.3654602591822638</v>
      </c>
      <c r="O11" s="10"/>
      <c r="P11" s="55"/>
      <c r="Q11" s="27">
        <v>2415.9709269514588</v>
      </c>
      <c r="R11" s="27">
        <v>1494.1319055164968</v>
      </c>
      <c r="S11" s="462">
        <f ca="1">Variation!AO32</f>
        <v>525.6099999999999</v>
      </c>
      <c r="T11" s="462">
        <f ca="1">Variation!AO51</f>
        <v>528.22</v>
      </c>
      <c r="U11" s="313">
        <f t="shared" ca="1" si="4"/>
        <v>2.1755642592240529</v>
      </c>
      <c r="V11" s="313">
        <f t="shared" ca="1" si="5"/>
        <v>3.535296971102448</v>
      </c>
      <c r="W11" s="27"/>
      <c r="X11" s="27"/>
      <c r="Y11" s="27"/>
      <c r="Z11" s="27"/>
      <c r="AA11" s="313">
        <f t="shared" ca="1" si="8"/>
        <v>2.1755642592240529</v>
      </c>
      <c r="AB11" s="313">
        <f t="shared" ca="1" si="9"/>
        <v>3.535296971102448</v>
      </c>
    </row>
    <row r="12" spans="1:28" x14ac:dyDescent="0.25">
      <c r="A12" s="23">
        <v>10</v>
      </c>
      <c r="B12" s="10" t="s">
        <v>13</v>
      </c>
      <c r="C12" s="307">
        <f>Variation!AN13</f>
        <v>51.68</v>
      </c>
      <c r="D12" s="307">
        <f ca="1">Variation!AO13</f>
        <v>66.739999999999995</v>
      </c>
      <c r="E12" s="307">
        <f ca="1">Variation!AP13</f>
        <v>15.059999999999995</v>
      </c>
      <c r="F12" s="307"/>
      <c r="G12" s="307">
        <f ca="1">Variation!AR13</f>
        <v>66.739999999999995</v>
      </c>
      <c r="H12" s="307">
        <f>Variation!AS13</f>
        <v>51.68</v>
      </c>
      <c r="I12" s="10">
        <v>77.06</v>
      </c>
      <c r="J12" s="10"/>
      <c r="K12" s="377"/>
      <c r="L12" s="377">
        <f t="shared" ca="1" si="0"/>
        <v>8.6607838048274068</v>
      </c>
      <c r="M12" s="377">
        <f t="shared" ca="1" si="1"/>
        <v>8.6607838048274068</v>
      </c>
      <c r="N12" s="377">
        <f t="shared" ca="1" si="2"/>
        <v>8.6607838048274068</v>
      </c>
      <c r="O12" s="10"/>
      <c r="P12" s="55"/>
      <c r="Q12" s="27">
        <v>112.85794826117908</v>
      </c>
      <c r="R12" s="27">
        <v>87.313999999999993</v>
      </c>
      <c r="S12" s="462">
        <f ca="1">Variation!AO33</f>
        <v>71.709999999999994</v>
      </c>
      <c r="T12" s="462">
        <f ca="1">Variation!AO52</f>
        <v>74.34</v>
      </c>
      <c r="U12" s="313">
        <f t="shared" ca="1" si="4"/>
        <v>6.3540052876069186</v>
      </c>
      <c r="V12" s="313">
        <f t="shared" ca="1" si="5"/>
        <v>8.5140985408983685</v>
      </c>
      <c r="W12" s="27"/>
      <c r="X12" s="27"/>
      <c r="Y12" s="27"/>
      <c r="Z12" s="27"/>
      <c r="AA12" s="313">
        <f t="shared" ca="1" si="8"/>
        <v>6.3540052876069186</v>
      </c>
      <c r="AB12" s="313">
        <f t="shared" ca="1" si="9"/>
        <v>8.5140985408983685</v>
      </c>
    </row>
    <row r="13" spans="1:28" x14ac:dyDescent="0.25">
      <c r="A13" s="23">
        <v>11</v>
      </c>
      <c r="B13" s="10" t="s">
        <v>14</v>
      </c>
      <c r="C13" s="307">
        <f>Variation!AN14</f>
        <v>9.8699999999999992</v>
      </c>
      <c r="D13" s="307">
        <f ca="1">Variation!AO14</f>
        <v>11.469999999999999</v>
      </c>
      <c r="E13" s="307">
        <f ca="1">Variation!AP14</f>
        <v>1.5999999999999996</v>
      </c>
      <c r="F13" s="307"/>
      <c r="G13" s="307">
        <f ca="1">Variation!AR14</f>
        <v>11.469999999999999</v>
      </c>
      <c r="H13" s="307">
        <f>Variation!AS14</f>
        <v>9.8699999999999992</v>
      </c>
      <c r="I13" s="10">
        <v>2.68</v>
      </c>
      <c r="J13" s="10"/>
      <c r="K13" s="377"/>
      <c r="L13" s="377">
        <f t="shared" ca="1" si="0"/>
        <v>42.798507462686565</v>
      </c>
      <c r="M13" s="377">
        <f t="shared" ca="1" si="1"/>
        <v>42.798507462686565</v>
      </c>
      <c r="N13" s="377">
        <f t="shared" ca="1" si="2"/>
        <v>42.798507462686565</v>
      </c>
      <c r="O13" s="10"/>
      <c r="P13" s="55"/>
      <c r="Q13" s="27">
        <v>2.778204483306836</v>
      </c>
      <c r="R13" s="27">
        <v>3.4200000000000004</v>
      </c>
      <c r="S13" s="462">
        <f ca="1">Variation!AO34</f>
        <v>11.749999999999998</v>
      </c>
      <c r="T13" s="462">
        <f ca="1">Variation!AO53</f>
        <v>12.12</v>
      </c>
      <c r="U13" s="313">
        <f t="shared" ca="1" si="4"/>
        <v>42.293503126214205</v>
      </c>
      <c r="V13" s="313">
        <f t="shared" ca="1" si="5"/>
        <v>35.438596491228068</v>
      </c>
      <c r="W13" s="27"/>
      <c r="X13" s="27"/>
      <c r="Y13" s="27"/>
      <c r="Z13" s="27"/>
      <c r="AA13" s="313">
        <f t="shared" ca="1" si="8"/>
        <v>42.293503126214205</v>
      </c>
      <c r="AB13" s="313">
        <f t="shared" ca="1" si="9"/>
        <v>35.438596491228068</v>
      </c>
    </row>
    <row r="14" spans="1:28" x14ac:dyDescent="0.25">
      <c r="A14" s="23">
        <v>12</v>
      </c>
      <c r="B14" s="10" t="s">
        <v>15</v>
      </c>
      <c r="C14" s="307">
        <f>Variation!AN15</f>
        <v>9.66</v>
      </c>
      <c r="D14" s="307">
        <f ca="1">Variation!AO15</f>
        <v>12.420000000000002</v>
      </c>
      <c r="E14" s="307">
        <f ca="1">Variation!AP15</f>
        <v>2.7600000000000016</v>
      </c>
      <c r="F14" s="307"/>
      <c r="G14" s="307">
        <f ca="1">Variation!AR15</f>
        <v>12.420000000000002</v>
      </c>
      <c r="H14" s="307">
        <f>Variation!AS15</f>
        <v>9.66</v>
      </c>
      <c r="I14" s="10">
        <v>8.69</v>
      </c>
      <c r="J14" s="10"/>
      <c r="K14" s="377"/>
      <c r="L14" s="377">
        <f t="shared" ca="1" si="0"/>
        <v>14.292289988492524</v>
      </c>
      <c r="M14" s="377">
        <f t="shared" ca="1" si="1"/>
        <v>14.292289988492524</v>
      </c>
      <c r="N14" s="377">
        <f t="shared" ca="1" si="2"/>
        <v>14.292289988492524</v>
      </c>
      <c r="O14" s="10"/>
      <c r="P14" s="55"/>
      <c r="Q14" s="27">
        <v>15.491666666666671</v>
      </c>
      <c r="R14" s="27">
        <v>11.919999999999998</v>
      </c>
      <c r="S14" s="462">
        <f ca="1">Variation!AO35</f>
        <v>12.68</v>
      </c>
      <c r="T14" s="462">
        <f ca="1">Variation!AO54</f>
        <v>13.02</v>
      </c>
      <c r="U14" s="313">
        <f t="shared" ca="1" si="4"/>
        <v>8.18504572350726</v>
      </c>
      <c r="V14" s="313">
        <f t="shared" ca="1" si="5"/>
        <v>10.922818791946309</v>
      </c>
      <c r="W14" s="27"/>
      <c r="X14" s="27"/>
      <c r="Y14" s="27"/>
      <c r="Z14" s="27"/>
      <c r="AA14" s="313">
        <f t="shared" ca="1" si="8"/>
        <v>8.18504572350726</v>
      </c>
      <c r="AB14" s="313">
        <f t="shared" ca="1" si="9"/>
        <v>10.922818791946309</v>
      </c>
    </row>
    <row r="15" spans="1:28" x14ac:dyDescent="0.25">
      <c r="A15" s="23">
        <v>13</v>
      </c>
      <c r="B15" s="10" t="s">
        <v>16</v>
      </c>
      <c r="C15" s="307">
        <f>Variation!AN16</f>
        <v>90.41</v>
      </c>
      <c r="D15" s="307">
        <f ca="1">Variation!AO16</f>
        <v>125.86</v>
      </c>
      <c r="E15" s="307">
        <f ca="1">Variation!AP16</f>
        <v>35.450000000000003</v>
      </c>
      <c r="F15" s="307"/>
      <c r="G15" s="307">
        <f ca="1">Variation!AR16</f>
        <v>125.86</v>
      </c>
      <c r="H15" s="307">
        <f>Variation!AS16</f>
        <v>90.41</v>
      </c>
      <c r="I15" s="10">
        <v>341.71</v>
      </c>
      <c r="J15" s="10"/>
      <c r="K15" s="377"/>
      <c r="L15" s="377">
        <f t="shared" ca="1" si="0"/>
        <v>3.6832401744169037</v>
      </c>
      <c r="M15" s="377">
        <f t="shared" ca="1" si="1"/>
        <v>3.6832401744169037</v>
      </c>
      <c r="N15" s="377">
        <f t="shared" ca="1" si="2"/>
        <v>3.6832401744169037</v>
      </c>
      <c r="O15" s="10"/>
      <c r="P15" s="55"/>
      <c r="Q15" s="27">
        <v>493.50003134981029</v>
      </c>
      <c r="R15" s="27">
        <v>322.99197848485119</v>
      </c>
      <c r="S15" s="462">
        <f ca="1">Variation!AO36</f>
        <v>133.12</v>
      </c>
      <c r="T15" s="462">
        <f ca="1">Variation!AO55</f>
        <v>134.76</v>
      </c>
      <c r="U15" s="313">
        <f t="shared" ca="1" si="4"/>
        <v>2.6974669005773544</v>
      </c>
      <c r="V15" s="313">
        <f t="shared" ca="1" si="5"/>
        <v>4.1722398380342574</v>
      </c>
      <c r="W15" s="27"/>
      <c r="X15" s="27"/>
      <c r="Y15" s="27"/>
      <c r="Z15" s="27"/>
      <c r="AA15" s="313">
        <f t="shared" ca="1" si="8"/>
        <v>2.6974669005773544</v>
      </c>
      <c r="AB15" s="313">
        <f t="shared" ca="1" si="9"/>
        <v>4.1722398380342574</v>
      </c>
    </row>
    <row r="16" spans="1:28" x14ac:dyDescent="0.25">
      <c r="A16" s="23">
        <v>14</v>
      </c>
      <c r="B16" s="10" t="s">
        <v>17</v>
      </c>
      <c r="C16" s="307">
        <f>Variation!AN17</f>
        <v>198.1</v>
      </c>
      <c r="D16" s="307">
        <f ca="1">Variation!AO17</f>
        <v>240</v>
      </c>
      <c r="E16" s="307">
        <f ca="1">Variation!AP17</f>
        <v>41.900000000000006</v>
      </c>
      <c r="F16" s="307"/>
      <c r="G16" s="307">
        <f ca="1">Variation!AR17</f>
        <v>240</v>
      </c>
      <c r="H16" s="307">
        <f>Variation!AS17</f>
        <v>198.1</v>
      </c>
      <c r="I16" s="10">
        <v>323.36</v>
      </c>
      <c r="J16" s="10"/>
      <c r="K16" s="377"/>
      <c r="L16" s="377">
        <f t="shared" ca="1" si="0"/>
        <v>7.4220682830282039</v>
      </c>
      <c r="M16" s="377">
        <f t="shared" ca="1" si="1"/>
        <v>7.4220682830282039</v>
      </c>
      <c r="N16" s="377">
        <f t="shared" ca="1" si="2"/>
        <v>7.4220682830282039</v>
      </c>
      <c r="O16" s="10"/>
      <c r="P16" s="55"/>
      <c r="Q16" s="27">
        <v>493.31273743016766</v>
      </c>
      <c r="R16" s="27">
        <v>293.11099999999999</v>
      </c>
      <c r="S16" s="462">
        <f ca="1">Variation!AO37</f>
        <v>248.57000000000002</v>
      </c>
      <c r="T16" s="462">
        <f ca="1">Variation!AO56</f>
        <v>249.59</v>
      </c>
      <c r="U16" s="313">
        <f t="shared" ca="1" si="4"/>
        <v>5.0387914428255982</v>
      </c>
      <c r="V16" s="313">
        <f t="shared" ca="1" si="5"/>
        <v>8.5152041376816303</v>
      </c>
      <c r="W16" s="27"/>
      <c r="X16" s="27"/>
      <c r="Y16" s="27"/>
      <c r="Z16" s="27"/>
      <c r="AA16" s="313">
        <f t="shared" ca="1" si="8"/>
        <v>5.0387914428255982</v>
      </c>
      <c r="AB16" s="313">
        <f t="shared" ca="1" si="9"/>
        <v>8.5152041376816303</v>
      </c>
    </row>
    <row r="17" spans="1:28" x14ac:dyDescent="0.25">
      <c r="A17" s="23">
        <v>15</v>
      </c>
      <c r="B17" s="10" t="s">
        <v>18</v>
      </c>
      <c r="C17" s="307">
        <f>Variation!AN18</f>
        <v>86.32</v>
      </c>
      <c r="D17" s="307">
        <f ca="1">Variation!AO18</f>
        <v>106.89</v>
      </c>
      <c r="E17" s="307">
        <f ca="1">Variation!AP18</f>
        <v>20.570000000000007</v>
      </c>
      <c r="F17" s="307"/>
      <c r="G17" s="307">
        <f ca="1">Variation!AR18</f>
        <v>106.89</v>
      </c>
      <c r="H17" s="307">
        <f>Variation!AS18</f>
        <v>86.32</v>
      </c>
      <c r="I17" s="10">
        <v>264.18000000000006</v>
      </c>
      <c r="J17" s="10"/>
      <c r="K17" s="377"/>
      <c r="L17" s="377">
        <f t="shared" ca="1" si="0"/>
        <v>4.0461049284578685</v>
      </c>
      <c r="M17" s="377">
        <f t="shared" ca="1" si="1"/>
        <v>4.0461049284578685</v>
      </c>
      <c r="N17" s="377">
        <f t="shared" ca="1" si="2"/>
        <v>4.0461049284578685</v>
      </c>
      <c r="O17" s="10"/>
      <c r="P17" s="55"/>
      <c r="Q17" s="27">
        <v>284.68131592226018</v>
      </c>
      <c r="R17" s="27">
        <v>254.85802056882346</v>
      </c>
      <c r="S17" s="462">
        <f ca="1">Variation!AO38</f>
        <v>108.42</v>
      </c>
      <c r="T17" s="462">
        <f ca="1">Variation!AO57</f>
        <v>109.41999999999999</v>
      </c>
      <c r="U17" s="313">
        <f t="shared" ca="1" si="4"/>
        <v>3.8084691174325953</v>
      </c>
      <c r="V17" s="313">
        <f t="shared" ca="1" si="5"/>
        <v>4.2933708641298782</v>
      </c>
      <c r="W17" s="27"/>
      <c r="X17" s="27"/>
      <c r="Y17" s="27"/>
      <c r="Z17" s="27"/>
      <c r="AA17" s="313">
        <f t="shared" ca="1" si="8"/>
        <v>3.8084691174325953</v>
      </c>
      <c r="AB17" s="313">
        <f t="shared" ca="1" si="9"/>
        <v>4.2933708641298782</v>
      </c>
    </row>
    <row r="18" spans="1:28" s="20" customFormat="1" x14ac:dyDescent="0.25">
      <c r="A18" s="21"/>
      <c r="B18" s="21" t="s">
        <v>19</v>
      </c>
      <c r="C18" s="462">
        <f>Variation!AN19</f>
        <v>5311.4000000000005</v>
      </c>
      <c r="D18" s="462">
        <f ca="1">Variation!AO19</f>
        <v>6614.75</v>
      </c>
      <c r="E18" s="462">
        <f ca="1">Variation!AP19</f>
        <v>1303.3499999999999</v>
      </c>
      <c r="F18" s="462"/>
      <c r="G18" s="462">
        <f ca="1">Variation!AR19</f>
        <v>6056.7599835294122</v>
      </c>
      <c r="H18" s="462">
        <f>Variation!AS19</f>
        <v>4874.4265294117649</v>
      </c>
      <c r="I18" s="462">
        <f>SUM(I3:I17)</f>
        <v>26836.971690909475</v>
      </c>
      <c r="J18" s="462">
        <f>SUM(J3:J17)</f>
        <v>4082.4640000000004</v>
      </c>
      <c r="K18" s="313">
        <v>3.7685417712403324</v>
      </c>
      <c r="L18" s="313">
        <f ca="1">G18/I18*10</f>
        <v>2.2568716222110212</v>
      </c>
      <c r="M18" s="313">
        <f ca="1">G18/(I18+J18)*10</f>
        <v>1.9588843871785606</v>
      </c>
      <c r="N18" s="313">
        <f ca="1">K18+L18</f>
        <v>6.0254133934513536</v>
      </c>
      <c r="O18" s="27">
        <v>5.7270000000000003</v>
      </c>
      <c r="P18" s="463"/>
      <c r="Q18" s="27">
        <f>SUM(Q3:Q17)</f>
        <v>29832.442387064846</v>
      </c>
      <c r="R18" s="27">
        <f t="shared" ref="R18:T18" si="10">SUM(R3:R17)</f>
        <v>31669.372014570166</v>
      </c>
      <c r="S18" s="27">
        <f t="shared" ca="1" si="10"/>
        <v>6686.01</v>
      </c>
      <c r="T18" s="27">
        <f t="shared" ca="1" si="10"/>
        <v>6828.35</v>
      </c>
      <c r="U18" s="313">
        <f t="shared" ca="1" si="4"/>
        <v>2.241187601488174</v>
      </c>
      <c r="V18" s="313">
        <f t="shared" ca="1" si="5"/>
        <v>2.1561368494640414</v>
      </c>
      <c r="W18" s="27"/>
      <c r="X18" s="27"/>
      <c r="Y18" s="462">
        <f t="shared" ref="Y18:Z18" si="11">SUM(Y3:Y17)</f>
        <v>8583.4889158022015</v>
      </c>
      <c r="Z18" s="462">
        <f t="shared" si="11"/>
        <v>9456.827741000001</v>
      </c>
      <c r="AA18" s="313">
        <f ca="1">(S18+Y18)/Q18*10</f>
        <v>5.1184206501385745</v>
      </c>
      <c r="AB18" s="313">
        <f ca="1">(T18+Z18)/R18*10</f>
        <v>5.1422483949184903</v>
      </c>
    </row>
    <row r="19" spans="1:28" x14ac:dyDescent="0.25">
      <c r="I19" s="26">
        <f>SUM(I3:I9)</f>
        <v>21611.653921686477</v>
      </c>
      <c r="K19" s="19" t="s">
        <v>488</v>
      </c>
      <c r="N19" s="122">
        <f ca="1">K18+M18</f>
        <v>5.7274261584188935</v>
      </c>
    </row>
    <row r="20" spans="1:28" x14ac:dyDescent="0.25">
      <c r="I20" s="26">
        <f>I3*K3+I4*K4+I5*K5+I6*K6+I7*K7+I8*K8+I9*K9</f>
        <v>81444.420549465431</v>
      </c>
    </row>
    <row r="21" spans="1:28" x14ac:dyDescent="0.25">
      <c r="I21" s="122">
        <f>I20/I19</f>
        <v>3.7685417712403324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17"/>
  <sheetViews>
    <sheetView workbookViewId="0">
      <selection activeCell="L10" sqref="L10"/>
    </sheetView>
  </sheetViews>
  <sheetFormatPr defaultRowHeight="16.5" x14ac:dyDescent="0.25"/>
  <cols>
    <col min="1" max="1" width="7.85546875" style="452" customWidth="1"/>
    <col min="2" max="2" width="36.85546875" style="452" customWidth="1"/>
    <col min="3" max="3" width="12" style="452" customWidth="1"/>
    <col min="4" max="4" width="12.7109375" style="452" customWidth="1"/>
    <col min="5" max="5" width="12.42578125" style="452" customWidth="1"/>
    <col min="6" max="6" width="12.7109375" style="452" customWidth="1"/>
    <col min="7" max="7" width="13" style="452" customWidth="1"/>
    <col min="8" max="8" width="9.140625" style="452" customWidth="1"/>
    <col min="9" max="9" width="13" style="452" customWidth="1"/>
    <col min="10" max="16384" width="9.140625" style="452"/>
  </cols>
  <sheetData>
    <row r="1" spans="1:11" ht="16.5" customHeight="1" x14ac:dyDescent="0.25">
      <c r="A1" s="505" t="s">
        <v>478</v>
      </c>
      <c r="B1" s="505"/>
      <c r="C1" s="505"/>
      <c r="D1" s="505"/>
      <c r="E1" s="505"/>
      <c r="F1" s="505"/>
      <c r="G1" s="505"/>
      <c r="H1" s="505"/>
      <c r="I1" s="505"/>
    </row>
    <row r="2" spans="1:11" ht="115.5" x14ac:dyDescent="0.25">
      <c r="A2" s="451" t="s">
        <v>231</v>
      </c>
      <c r="B2" s="451" t="s">
        <v>407</v>
      </c>
      <c r="C2" s="451" t="s">
        <v>472</v>
      </c>
      <c r="D2" s="451" t="s">
        <v>474</v>
      </c>
      <c r="E2" s="451" t="s">
        <v>473</v>
      </c>
      <c r="F2" s="451" t="s">
        <v>479</v>
      </c>
      <c r="G2" s="451" t="s">
        <v>477</v>
      </c>
      <c r="H2" s="455" t="s">
        <v>494</v>
      </c>
      <c r="I2" s="455" t="s">
        <v>480</v>
      </c>
    </row>
    <row r="3" spans="1:11" s="457" customFormat="1" ht="33" x14ac:dyDescent="0.25">
      <c r="A3" s="449"/>
      <c r="B3" s="449"/>
      <c r="C3" s="451" t="s">
        <v>475</v>
      </c>
      <c r="D3" s="451" t="s">
        <v>475</v>
      </c>
      <c r="E3" s="451" t="s">
        <v>475</v>
      </c>
      <c r="F3" s="451" t="s">
        <v>475</v>
      </c>
      <c r="G3" s="451" t="s">
        <v>476</v>
      </c>
      <c r="H3" s="453"/>
      <c r="I3" s="453"/>
    </row>
    <row r="4" spans="1:11" ht="33" x14ac:dyDescent="0.25">
      <c r="A4" s="451">
        <v>1</v>
      </c>
      <c r="B4" s="449" t="s">
        <v>409</v>
      </c>
      <c r="C4" s="450">
        <v>2803.39</v>
      </c>
      <c r="D4" s="450">
        <f>Variation!AW44</f>
        <v>2068.7000000000003</v>
      </c>
      <c r="E4" s="450">
        <f>Variation!AX44</f>
        <v>2959.1400000000003</v>
      </c>
      <c r="F4" s="450">
        <f>E4-D4</f>
        <v>890.44</v>
      </c>
      <c r="G4" s="450"/>
      <c r="H4" s="453"/>
      <c r="I4" s="453"/>
    </row>
    <row r="5" spans="1:11" x14ac:dyDescent="0.25">
      <c r="A5" s="451">
        <v>2</v>
      </c>
      <c r="B5" s="449" t="s">
        <v>197</v>
      </c>
      <c r="C5" s="450">
        <v>970.44</v>
      </c>
      <c r="D5" s="450">
        <f>Variation!AW45</f>
        <v>979.5</v>
      </c>
      <c r="E5" s="450">
        <f>Variation!AX45</f>
        <v>802.79000000000008</v>
      </c>
      <c r="F5" s="450">
        <f t="shared" ref="F5:F13" si="0">E5-D5</f>
        <v>-176.70999999999992</v>
      </c>
      <c r="G5" s="450"/>
      <c r="H5" s="453"/>
      <c r="I5" s="453"/>
    </row>
    <row r="6" spans="1:11" ht="33" x14ac:dyDescent="0.25">
      <c r="A6" s="451">
        <v>3</v>
      </c>
      <c r="B6" s="449" t="s">
        <v>410</v>
      </c>
      <c r="C6" s="450">
        <v>1015.29</v>
      </c>
      <c r="D6" s="450">
        <f>Variation!AW46</f>
        <v>678.98</v>
      </c>
      <c r="E6" s="450">
        <f>Variation!AX46</f>
        <v>793.74</v>
      </c>
      <c r="F6" s="450">
        <f t="shared" si="0"/>
        <v>114.75999999999999</v>
      </c>
      <c r="G6" s="450"/>
      <c r="H6" s="453"/>
      <c r="I6" s="453"/>
      <c r="K6" s="464"/>
    </row>
    <row r="7" spans="1:11" x14ac:dyDescent="0.25">
      <c r="A7" s="451">
        <v>4</v>
      </c>
      <c r="B7" s="449" t="s">
        <v>411</v>
      </c>
      <c r="C7" s="450">
        <v>334.74</v>
      </c>
      <c r="D7" s="450">
        <f>Variation!AW47</f>
        <v>300.54000000000008</v>
      </c>
      <c r="E7" s="450">
        <f ca="1">Variation!AX47</f>
        <v>316.43999999999994</v>
      </c>
      <c r="F7" s="450">
        <f t="shared" ca="1" si="0"/>
        <v>15.899999999999864</v>
      </c>
      <c r="G7" s="450"/>
      <c r="H7" s="453"/>
      <c r="I7" s="453"/>
    </row>
    <row r="8" spans="1:11" x14ac:dyDescent="0.25">
      <c r="A8" s="451">
        <v>5</v>
      </c>
      <c r="B8" s="449" t="s">
        <v>201</v>
      </c>
      <c r="C8" s="450">
        <v>2195.42</v>
      </c>
      <c r="D8" s="450">
        <f>Variation!AW48</f>
        <v>1951.2099999999998</v>
      </c>
      <c r="E8" s="450">
        <f>Variation!AX48</f>
        <v>2041.93</v>
      </c>
      <c r="F8" s="450">
        <f t="shared" si="0"/>
        <v>90.720000000000255</v>
      </c>
      <c r="G8" s="450"/>
      <c r="H8" s="453"/>
      <c r="I8" s="453"/>
    </row>
    <row r="9" spans="1:11" x14ac:dyDescent="0.25">
      <c r="A9" s="451">
        <v>6</v>
      </c>
      <c r="B9" s="449" t="s">
        <v>413</v>
      </c>
      <c r="C9" s="450">
        <v>118.19</v>
      </c>
      <c r="D9" s="450">
        <f>Variation!AW49</f>
        <v>118.18</v>
      </c>
      <c r="E9" s="450">
        <f>Variation!AX49</f>
        <v>85.689999999999984</v>
      </c>
      <c r="F9" s="450">
        <f t="shared" si="0"/>
        <v>-32.490000000000023</v>
      </c>
      <c r="G9" s="450"/>
      <c r="H9" s="453"/>
      <c r="I9" s="453"/>
    </row>
    <row r="10" spans="1:11" x14ac:dyDescent="0.25">
      <c r="A10" s="451"/>
      <c r="B10" s="449" t="s">
        <v>54</v>
      </c>
      <c r="C10" s="450">
        <f>SUM(C4:C8)-C9</f>
        <v>7201.09</v>
      </c>
      <c r="D10" s="450">
        <f>SUM(D4:D8)-D9</f>
        <v>5860.75</v>
      </c>
      <c r="E10" s="450">
        <f ca="1">SUM(E4:E8)-E9</f>
        <v>6828.35</v>
      </c>
      <c r="F10" s="450">
        <f t="shared" ca="1" si="0"/>
        <v>967.60000000000036</v>
      </c>
      <c r="G10" s="450">
        <f>'ECR '!I18</f>
        <v>26836.971690909475</v>
      </c>
      <c r="H10" s="454">
        <f ca="1">E10/G10*10</f>
        <v>2.544381712901302</v>
      </c>
      <c r="I10" s="454">
        <f ca="1">F10/G10*10</f>
        <v>0.36054738632368011</v>
      </c>
    </row>
    <row r="11" spans="1:11" x14ac:dyDescent="0.25">
      <c r="A11" s="455">
        <v>7</v>
      </c>
      <c r="B11" s="453" t="s">
        <v>412</v>
      </c>
      <c r="C11" s="456">
        <v>1617.06</v>
      </c>
      <c r="D11" s="456">
        <f>C11</f>
        <v>1617.06</v>
      </c>
      <c r="E11" s="456">
        <f>Variation!AX51</f>
        <v>1902.23</v>
      </c>
      <c r="F11" s="450">
        <f t="shared" si="0"/>
        <v>285.17000000000007</v>
      </c>
      <c r="G11" s="456"/>
      <c r="H11" s="506">
        <f>(E11+E12)/G10*10</f>
        <v>0.72873721466213737</v>
      </c>
      <c r="I11" s="506">
        <f>(F11+F12)/G10</f>
        <v>1.1357838861649535E-2</v>
      </c>
    </row>
    <row r="12" spans="1:11" x14ac:dyDescent="0.25">
      <c r="A12" s="455">
        <v>8</v>
      </c>
      <c r="B12" s="453" t="s">
        <v>176</v>
      </c>
      <c r="C12" s="456">
        <v>33.840000000000003</v>
      </c>
      <c r="D12" s="456">
        <f>C12</f>
        <v>33.840000000000003</v>
      </c>
      <c r="E12" s="456">
        <f>Variation!AX52</f>
        <v>53.48</v>
      </c>
      <c r="F12" s="450">
        <f t="shared" si="0"/>
        <v>19.639999999999993</v>
      </c>
      <c r="G12" s="456"/>
      <c r="H12" s="507"/>
      <c r="I12" s="507"/>
    </row>
    <row r="13" spans="1:11" x14ac:dyDescent="0.25">
      <c r="A13" s="453"/>
      <c r="B13" s="453" t="s">
        <v>63</v>
      </c>
      <c r="C13" s="456">
        <f>SUM(C10:C12)</f>
        <v>8851.99</v>
      </c>
      <c r="D13" s="456">
        <f>D10+D11+D12</f>
        <v>7511.65</v>
      </c>
      <c r="E13" s="456">
        <f ca="1">E10+E11+E12</f>
        <v>8784.06</v>
      </c>
      <c r="F13" s="450">
        <f t="shared" ca="1" si="0"/>
        <v>1272.4099999999999</v>
      </c>
      <c r="G13" s="456"/>
      <c r="H13" s="454">
        <f ca="1">E13/G10*10</f>
        <v>3.2731189275634391</v>
      </c>
      <c r="I13" s="454">
        <f ca="1">F13/G10*10</f>
        <v>0.47412577494017516</v>
      </c>
    </row>
    <row r="15" spans="1:11" ht="26.25" customHeight="1" x14ac:dyDescent="0.25">
      <c r="C15" s="508" t="s">
        <v>481</v>
      </c>
      <c r="D15" s="508"/>
      <c r="E15" s="508"/>
      <c r="F15" s="508"/>
    </row>
    <row r="16" spans="1:11" ht="75.75" customHeight="1" x14ac:dyDescent="0.25">
      <c r="C16" s="465" t="s">
        <v>482</v>
      </c>
      <c r="D16" s="466" t="s">
        <v>483</v>
      </c>
      <c r="E16" s="466" t="s">
        <v>484</v>
      </c>
      <c r="F16" s="466" t="s">
        <v>485</v>
      </c>
    </row>
    <row r="17" spans="3:6" x14ac:dyDescent="0.25">
      <c r="C17" s="456">
        <f ca="1">'ECR '!E18</f>
        <v>1303.3499999999999</v>
      </c>
      <c r="D17" s="456">
        <f>Variation!AY13+Variation!AY14</f>
        <v>303.77999999999992</v>
      </c>
      <c r="E17" s="456">
        <f>'ECR '!I18</f>
        <v>26836.971690909475</v>
      </c>
      <c r="F17" s="454">
        <f ca="1">(C17+D17)/E17*10</f>
        <v>0.59884923623643627</v>
      </c>
    </row>
  </sheetData>
  <mergeCells count="4">
    <mergeCell ref="A1:I1"/>
    <mergeCell ref="H11:H12"/>
    <mergeCell ref="I11:I12"/>
    <mergeCell ref="C15:F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89"/>
  <sheetViews>
    <sheetView view="pageBreakPreview" topLeftCell="G49" zoomScale="87" zoomScaleNormal="91" zoomScaleSheetLayoutView="87" workbookViewId="0">
      <selection activeCell="L48" sqref="L48"/>
    </sheetView>
  </sheetViews>
  <sheetFormatPr defaultColWidth="9.140625" defaultRowHeight="16.5" customHeight="1" x14ac:dyDescent="0.25"/>
  <cols>
    <col min="1" max="1" width="3.7109375" style="19" customWidth="1"/>
    <col min="2" max="2" width="5.7109375" style="19" bestFit="1" customWidth="1"/>
    <col min="3" max="3" width="15.28515625" style="19" customWidth="1"/>
    <col min="4" max="5" width="12.5703125" style="19" customWidth="1"/>
    <col min="6" max="6" width="13" style="19" customWidth="1"/>
    <col min="7" max="7" width="11.85546875" style="19" customWidth="1"/>
    <col min="8" max="8" width="13.42578125" style="19" customWidth="1"/>
    <col min="9" max="9" width="13.28515625" style="19" customWidth="1"/>
    <col min="10" max="10" width="11" style="19" customWidth="1"/>
    <col min="11" max="11" width="11.140625" style="19" customWidth="1"/>
    <col min="12" max="12" width="12.140625" style="20" customWidth="1"/>
    <col min="13" max="16384" width="9.140625" style="19"/>
  </cols>
  <sheetData>
    <row r="2" spans="2:13" ht="16.5" customHeight="1" x14ac:dyDescent="0.3">
      <c r="B2" s="468" t="s">
        <v>103</v>
      </c>
      <c r="C2" s="468"/>
      <c r="D2" s="468"/>
      <c r="E2" s="468"/>
      <c r="F2" s="468"/>
      <c r="G2" s="468"/>
      <c r="H2" s="468"/>
      <c r="I2" s="468"/>
      <c r="J2" s="468"/>
      <c r="K2" s="468"/>
      <c r="L2" s="468"/>
    </row>
    <row r="3" spans="2:13" ht="16.5" customHeight="1" x14ac:dyDescent="0.25">
      <c r="L3" s="20" t="s">
        <v>117</v>
      </c>
    </row>
    <row r="4" spans="2:13" ht="16.5" customHeight="1" x14ac:dyDescent="0.25">
      <c r="J4" s="48"/>
      <c r="K4" s="48"/>
      <c r="L4" s="22" t="s">
        <v>0</v>
      </c>
    </row>
    <row r="5" spans="2:13" ht="80.25" customHeight="1" x14ac:dyDescent="0.25">
      <c r="B5" s="9" t="s">
        <v>1</v>
      </c>
      <c r="C5" s="9" t="s">
        <v>2</v>
      </c>
      <c r="D5" s="9" t="s">
        <v>20</v>
      </c>
      <c r="E5" s="9" t="s">
        <v>313</v>
      </c>
      <c r="F5" s="9" t="s">
        <v>33</v>
      </c>
      <c r="G5" s="9" t="s">
        <v>114</v>
      </c>
      <c r="H5" s="9" t="s">
        <v>113</v>
      </c>
      <c r="I5" s="9" t="s">
        <v>34</v>
      </c>
      <c r="J5" s="56" t="s">
        <v>115</v>
      </c>
      <c r="K5" s="56" t="s">
        <v>116</v>
      </c>
      <c r="L5" s="56" t="s">
        <v>94</v>
      </c>
    </row>
    <row r="6" spans="2:13" ht="16.5" customHeight="1" x14ac:dyDescent="0.25">
      <c r="B6" s="3">
        <v>1</v>
      </c>
      <c r="C6" s="10" t="s">
        <v>4</v>
      </c>
      <c r="D6" s="24">
        <f>GFA!E3</f>
        <v>2269.87</v>
      </c>
      <c r="E6" s="24">
        <f>GFA!F3</f>
        <v>0.17</v>
      </c>
      <c r="F6" s="24">
        <f>D6*0.9</f>
        <v>2042.883</v>
      </c>
      <c r="G6" s="24">
        <v>1874.1200000000001</v>
      </c>
      <c r="H6" s="24">
        <f>F6-G6</f>
        <v>168.76299999999992</v>
      </c>
      <c r="I6" s="25">
        <v>6</v>
      </c>
      <c r="J6" s="57">
        <f>(D6*90%-G6)/I6</f>
        <v>28.127166666666653</v>
      </c>
      <c r="K6" s="57">
        <f>(GFA!F3*0.9/2)/'Depn. Cal''n'!I6</f>
        <v>1.2750000000000003E-2</v>
      </c>
      <c r="L6" s="58">
        <f>ROUND((K6+J6),2)</f>
        <v>28.14</v>
      </c>
    </row>
    <row r="7" spans="2:13" ht="20.25" customHeight="1" x14ac:dyDescent="0.25">
      <c r="B7" s="3">
        <v>2</v>
      </c>
      <c r="C7" s="10" t="s">
        <v>5</v>
      </c>
      <c r="D7" s="24">
        <f>GFA!E4</f>
        <v>2473.23</v>
      </c>
      <c r="E7" s="24">
        <f>GFA!F4</f>
        <v>0</v>
      </c>
      <c r="F7" s="24">
        <f t="shared" ref="F7:F19" si="0">D7*0.9</f>
        <v>2225.9070000000002</v>
      </c>
      <c r="G7" s="24">
        <v>1832.13</v>
      </c>
      <c r="H7" s="24">
        <f t="shared" ref="H7:H19" si="1">F7-G7</f>
        <v>393.77700000000004</v>
      </c>
      <c r="I7" s="70"/>
      <c r="J7" s="57">
        <v>124.92</v>
      </c>
      <c r="K7" s="57">
        <v>0</v>
      </c>
      <c r="L7" s="58">
        <f t="shared" ref="L7:L19" si="2">ROUND((K7+J7),2)</f>
        <v>124.92</v>
      </c>
    </row>
    <row r="8" spans="2:13" ht="17.25" customHeight="1" x14ac:dyDescent="0.25">
      <c r="B8" s="3">
        <v>3</v>
      </c>
      <c r="C8" s="10" t="s">
        <v>6</v>
      </c>
      <c r="D8" s="24">
        <f>GFA!E5</f>
        <v>5094.4000000000005</v>
      </c>
      <c r="E8" s="24">
        <f>GFA!F5</f>
        <v>14.73</v>
      </c>
      <c r="F8" s="24">
        <f t="shared" si="0"/>
        <v>4584.9600000000009</v>
      </c>
      <c r="G8" s="24">
        <v>1021.08</v>
      </c>
      <c r="H8" s="24">
        <f t="shared" si="1"/>
        <v>3563.880000000001</v>
      </c>
      <c r="I8" s="70"/>
      <c r="J8" s="57">
        <v>258.69</v>
      </c>
      <c r="K8" s="57">
        <v>0</v>
      </c>
      <c r="L8" s="58">
        <f t="shared" si="2"/>
        <v>258.69</v>
      </c>
    </row>
    <row r="9" spans="2:13" ht="16.5" customHeight="1" x14ac:dyDescent="0.25">
      <c r="B9" s="3">
        <v>4</v>
      </c>
      <c r="C9" s="10" t="s">
        <v>8</v>
      </c>
      <c r="D9" s="24">
        <f>GFA!E7</f>
        <v>2548.83</v>
      </c>
      <c r="E9" s="24">
        <f>GFA!F7</f>
        <v>0.14000000000000001</v>
      </c>
      <c r="F9" s="24">
        <f t="shared" si="0"/>
        <v>2293.9470000000001</v>
      </c>
      <c r="G9" s="24">
        <v>2084.17</v>
      </c>
      <c r="H9" s="24">
        <f t="shared" si="1"/>
        <v>209.77700000000004</v>
      </c>
      <c r="I9" s="71">
        <v>12</v>
      </c>
      <c r="J9" s="57">
        <f>H9/I9</f>
        <v>17.481416666666671</v>
      </c>
      <c r="K9" s="57">
        <f>(GFA!F7*0.9/2)/'Depn. Cal''n'!I9</f>
        <v>5.2500000000000012E-3</v>
      </c>
      <c r="L9" s="58">
        <f t="shared" si="2"/>
        <v>17.489999999999998</v>
      </c>
    </row>
    <row r="10" spans="2:13" ht="16.5" customHeight="1" x14ac:dyDescent="0.25">
      <c r="B10" s="3">
        <v>5</v>
      </c>
      <c r="C10" s="10" t="s">
        <v>9</v>
      </c>
      <c r="D10" s="24">
        <f>GFA!E8</f>
        <v>3761.27</v>
      </c>
      <c r="E10" s="24">
        <f>GFA!F8</f>
        <v>8.19</v>
      </c>
      <c r="F10" s="24">
        <f t="shared" si="0"/>
        <v>3385.143</v>
      </c>
      <c r="G10" s="24">
        <v>1276.6999999999998</v>
      </c>
      <c r="H10" s="24">
        <f t="shared" si="1"/>
        <v>2108.4430000000002</v>
      </c>
      <c r="I10" s="70"/>
      <c r="J10" s="57">
        <v>194.41</v>
      </c>
      <c r="K10" s="57">
        <v>0</v>
      </c>
      <c r="L10" s="58">
        <f t="shared" si="2"/>
        <v>194.41</v>
      </c>
    </row>
    <row r="11" spans="2:13" ht="16.5" customHeight="1" x14ac:dyDescent="0.25">
      <c r="B11" s="3">
        <v>6</v>
      </c>
      <c r="C11" s="10" t="s">
        <v>10</v>
      </c>
      <c r="D11" s="24">
        <f>GFA!E9</f>
        <v>7259.12</v>
      </c>
      <c r="E11" s="24">
        <f>GFA!F9</f>
        <v>186.16</v>
      </c>
      <c r="F11" s="24">
        <f t="shared" si="0"/>
        <v>6533.2079999999996</v>
      </c>
      <c r="G11" s="24">
        <v>758.07</v>
      </c>
      <c r="H11" s="24">
        <f t="shared" si="1"/>
        <v>5775.1379999999999</v>
      </c>
      <c r="I11" s="70"/>
      <c r="J11" s="57">
        <v>371.85</v>
      </c>
      <c r="K11" s="57">
        <v>0</v>
      </c>
      <c r="L11" s="58">
        <f t="shared" si="2"/>
        <v>371.85</v>
      </c>
      <c r="M11" s="20"/>
    </row>
    <row r="12" spans="2:13" ht="16.5" customHeight="1" x14ac:dyDescent="0.25">
      <c r="B12" s="3">
        <v>7</v>
      </c>
      <c r="C12" s="10" t="s">
        <v>11</v>
      </c>
      <c r="D12" s="24">
        <f>GFA!E10</f>
        <v>1920.8</v>
      </c>
      <c r="E12" s="24">
        <f>GFA!F10</f>
        <v>2.66</v>
      </c>
      <c r="F12" s="24">
        <f t="shared" si="0"/>
        <v>1728.72</v>
      </c>
      <c r="G12" s="24">
        <v>1167.29</v>
      </c>
      <c r="H12" s="24">
        <f t="shared" si="1"/>
        <v>561.43000000000006</v>
      </c>
      <c r="I12" s="70"/>
      <c r="J12" s="57">
        <v>93.51</v>
      </c>
      <c r="K12" s="57">
        <v>0</v>
      </c>
      <c r="L12" s="58">
        <f t="shared" si="2"/>
        <v>93.51</v>
      </c>
    </row>
    <row r="13" spans="2:13" ht="16.5" customHeight="1" x14ac:dyDescent="0.25">
      <c r="B13" s="3">
        <v>8</v>
      </c>
      <c r="C13" s="10" t="s">
        <v>12</v>
      </c>
      <c r="D13" s="24">
        <f>GFA!E11</f>
        <v>3375.71</v>
      </c>
      <c r="E13" s="24">
        <f>GFA!F11</f>
        <v>8.5</v>
      </c>
      <c r="F13" s="24">
        <f t="shared" si="0"/>
        <v>3038.1390000000001</v>
      </c>
      <c r="G13" s="24">
        <v>1879.1900000000005</v>
      </c>
      <c r="H13" s="24">
        <f t="shared" si="1"/>
        <v>1158.9489999999996</v>
      </c>
      <c r="I13" s="71">
        <v>20</v>
      </c>
      <c r="J13" s="57">
        <f>H13/I13</f>
        <v>57.947449999999982</v>
      </c>
      <c r="K13" s="57">
        <f>(GFA!F11*0.9/2)/'Depn. Cal''n'!I13</f>
        <v>0.19125</v>
      </c>
      <c r="L13" s="58">
        <f t="shared" si="2"/>
        <v>58.14</v>
      </c>
    </row>
    <row r="14" spans="2:13" ht="16.5" customHeight="1" x14ac:dyDescent="0.25">
      <c r="B14" s="3">
        <v>9</v>
      </c>
      <c r="C14" s="10" t="s">
        <v>13</v>
      </c>
      <c r="D14" s="24">
        <f>GFA!E12</f>
        <v>121.89</v>
      </c>
      <c r="E14" s="24">
        <f>GFA!F12</f>
        <v>0.05</v>
      </c>
      <c r="F14" s="24">
        <f t="shared" si="0"/>
        <v>109.70100000000001</v>
      </c>
      <c r="G14" s="24">
        <v>92.17</v>
      </c>
      <c r="H14" s="24">
        <f t="shared" si="1"/>
        <v>17.531000000000006</v>
      </c>
      <c r="I14" s="71">
        <v>17</v>
      </c>
      <c r="J14" s="57">
        <f t="shared" ref="J14:J16" si="3">H14/I14</f>
        <v>1.0312352941176475</v>
      </c>
      <c r="K14" s="57">
        <f>(GFA!F12*0.9/2)/'Depn. Cal''n'!I14</f>
        <v>1.323529411764706E-3</v>
      </c>
      <c r="L14" s="58">
        <f t="shared" si="2"/>
        <v>1.03</v>
      </c>
    </row>
    <row r="15" spans="2:13" ht="16.5" customHeight="1" x14ac:dyDescent="0.25">
      <c r="B15" s="3">
        <v>10</v>
      </c>
      <c r="C15" s="10" t="s">
        <v>14</v>
      </c>
      <c r="D15" s="24">
        <f>GFA!E13</f>
        <v>31.23</v>
      </c>
      <c r="E15" s="24">
        <f>GFA!F13</f>
        <v>0.04</v>
      </c>
      <c r="F15" s="24">
        <f t="shared" si="0"/>
        <v>28.106999999999999</v>
      </c>
      <c r="G15" s="24">
        <v>20.919999999999995</v>
      </c>
      <c r="H15" s="24">
        <f t="shared" si="1"/>
        <v>7.1870000000000047</v>
      </c>
      <c r="I15" s="71">
        <v>21</v>
      </c>
      <c r="J15" s="57">
        <f t="shared" si="3"/>
        <v>0.34223809523809545</v>
      </c>
      <c r="K15" s="57">
        <f>(GFA!F13*0.9/2)/'Depn. Cal''n'!I15</f>
        <v>8.5714285714285721E-4</v>
      </c>
      <c r="L15" s="58">
        <f t="shared" si="2"/>
        <v>0.34</v>
      </c>
    </row>
    <row r="16" spans="2:13" ht="16.5" customHeight="1" x14ac:dyDescent="0.25">
      <c r="B16" s="3">
        <v>11</v>
      </c>
      <c r="C16" s="10" t="s">
        <v>15</v>
      </c>
      <c r="D16" s="24">
        <f>GFA!E14</f>
        <v>29.74</v>
      </c>
      <c r="E16" s="24">
        <f>GFA!F14</f>
        <v>0</v>
      </c>
      <c r="F16" s="24">
        <f t="shared" si="0"/>
        <v>26.765999999999998</v>
      </c>
      <c r="G16" s="24">
        <v>11.110000000000003</v>
      </c>
      <c r="H16" s="24">
        <f>F16-G16</f>
        <v>15.655999999999995</v>
      </c>
      <c r="I16" s="71">
        <v>27</v>
      </c>
      <c r="J16" s="57">
        <f t="shared" si="3"/>
        <v>0.57985185185185173</v>
      </c>
      <c r="K16" s="57">
        <f>(GFA!F14/2)/'Depn. Cal''n'!I16</f>
        <v>0</v>
      </c>
      <c r="L16" s="58">
        <f t="shared" si="2"/>
        <v>0.57999999999999996</v>
      </c>
    </row>
    <row r="17" spans="2:12" ht="16.5" customHeight="1" x14ac:dyDescent="0.25">
      <c r="B17" s="3">
        <v>12</v>
      </c>
      <c r="C17" s="10" t="s">
        <v>16</v>
      </c>
      <c r="D17" s="24">
        <f>GFA!E15</f>
        <v>690.68</v>
      </c>
      <c r="E17" s="24">
        <f>GFA!F15</f>
        <v>1.82</v>
      </c>
      <c r="F17" s="24">
        <f t="shared" si="0"/>
        <v>621.61199999999997</v>
      </c>
      <c r="G17" s="24">
        <v>309.10999999999996</v>
      </c>
      <c r="H17" s="24">
        <f>F17-G17</f>
        <v>312.50200000000001</v>
      </c>
      <c r="I17" s="70"/>
      <c r="J17" s="57">
        <v>13.44</v>
      </c>
      <c r="K17" s="57">
        <v>0</v>
      </c>
      <c r="L17" s="58">
        <f t="shared" si="2"/>
        <v>13.44</v>
      </c>
    </row>
    <row r="18" spans="2:12" ht="16.5" customHeight="1" x14ac:dyDescent="0.25">
      <c r="B18" s="3">
        <v>13</v>
      </c>
      <c r="C18" s="10" t="s">
        <v>17</v>
      </c>
      <c r="D18" s="24">
        <f>GFA!E16</f>
        <v>1631.58</v>
      </c>
      <c r="E18" s="24">
        <f>GFA!F16</f>
        <v>4.2300000000000004</v>
      </c>
      <c r="F18" s="24">
        <f t="shared" si="0"/>
        <v>1468.422</v>
      </c>
      <c r="G18" s="24">
        <v>538.93999999999994</v>
      </c>
      <c r="H18" s="24">
        <f t="shared" si="1"/>
        <v>929.48200000000008</v>
      </c>
      <c r="I18" s="72"/>
      <c r="J18" s="57">
        <v>72.5</v>
      </c>
      <c r="K18" s="57">
        <v>0</v>
      </c>
      <c r="L18" s="58">
        <f t="shared" si="2"/>
        <v>72.5</v>
      </c>
    </row>
    <row r="19" spans="2:12" ht="16.5" customHeight="1" x14ac:dyDescent="0.25">
      <c r="B19" s="3">
        <v>14</v>
      </c>
      <c r="C19" s="10" t="s">
        <v>18</v>
      </c>
      <c r="D19" s="24">
        <f>GFA!E17</f>
        <v>440.72</v>
      </c>
      <c r="E19" s="24">
        <f>GFA!F17</f>
        <v>0.04</v>
      </c>
      <c r="F19" s="24">
        <f t="shared" si="0"/>
        <v>396.64800000000002</v>
      </c>
      <c r="G19" s="24">
        <v>76.28</v>
      </c>
      <c r="H19" s="24">
        <f t="shared" si="1"/>
        <v>320.36800000000005</v>
      </c>
      <c r="I19" s="70"/>
      <c r="J19" s="57">
        <v>9.5399999999999991</v>
      </c>
      <c r="K19" s="57">
        <v>0</v>
      </c>
      <c r="L19" s="58">
        <f t="shared" si="2"/>
        <v>9.5399999999999991</v>
      </c>
    </row>
    <row r="20" spans="2:12" ht="16.5" customHeight="1" x14ac:dyDescent="0.25">
      <c r="B20" s="21" t="s">
        <v>19</v>
      </c>
      <c r="C20" s="27"/>
      <c r="D20" s="28">
        <f>SUM(D6:D19)</f>
        <v>31649.07</v>
      </c>
      <c r="E20" s="28">
        <f>SUM(E6:E19)</f>
        <v>226.72999999999996</v>
      </c>
      <c r="F20" s="28">
        <f>SUM(F6:F19)</f>
        <v>28484.163</v>
      </c>
      <c r="G20" s="28">
        <f>SUM(G6:G19)</f>
        <v>12941.280000000004</v>
      </c>
      <c r="H20" s="28">
        <f>SUM(H6:H19)</f>
        <v>15542.883000000005</v>
      </c>
      <c r="I20" s="73"/>
      <c r="J20" s="58">
        <f>SUM(J6:J19)</f>
        <v>1244.3693585745409</v>
      </c>
      <c r="K20" s="58">
        <f>SUM(K6:K19)</f>
        <v>0.21143067226890755</v>
      </c>
      <c r="L20" s="58">
        <f>SUM(L6:L19)</f>
        <v>1244.58</v>
      </c>
    </row>
    <row r="28" spans="2:12" ht="16.5" customHeight="1" x14ac:dyDescent="0.25">
      <c r="L28" s="170"/>
    </row>
    <row r="29" spans="2:12" ht="16.5" customHeight="1" x14ac:dyDescent="0.25">
      <c r="L29" s="170"/>
    </row>
    <row r="30" spans="2:12" ht="16.5" customHeight="1" x14ac:dyDescent="0.25">
      <c r="L30" s="170"/>
    </row>
    <row r="31" spans="2:12" ht="16.5" customHeight="1" x14ac:dyDescent="0.25">
      <c r="L31" s="170"/>
    </row>
    <row r="32" spans="2:12" ht="16.5" customHeight="1" x14ac:dyDescent="0.25">
      <c r="C32" s="148"/>
      <c r="D32" s="148"/>
      <c r="E32" s="148"/>
      <c r="F32" s="148"/>
      <c r="G32" s="148" t="s">
        <v>133</v>
      </c>
      <c r="H32" s="148"/>
      <c r="I32" s="148"/>
      <c r="J32" s="148"/>
      <c r="K32" s="148"/>
      <c r="L32" s="148"/>
    </row>
    <row r="33" spans="2:13" ht="16.5" customHeight="1" x14ac:dyDescent="0.25">
      <c r="J33" s="48"/>
      <c r="K33" s="48"/>
      <c r="L33" s="22" t="s">
        <v>136</v>
      </c>
    </row>
    <row r="34" spans="2:13" ht="80.25" customHeight="1" x14ac:dyDescent="0.25">
      <c r="B34" s="9" t="s">
        <v>1</v>
      </c>
      <c r="C34" s="9" t="s">
        <v>2</v>
      </c>
      <c r="D34" s="9" t="s">
        <v>130</v>
      </c>
      <c r="E34" s="9" t="s">
        <v>313</v>
      </c>
      <c r="F34" s="9" t="s">
        <v>33</v>
      </c>
      <c r="G34" s="9" t="s">
        <v>139</v>
      </c>
      <c r="H34" s="9" t="s">
        <v>113</v>
      </c>
      <c r="I34" s="9" t="s">
        <v>34</v>
      </c>
      <c r="J34" s="56" t="s">
        <v>115</v>
      </c>
      <c r="K34" s="56" t="s">
        <v>116</v>
      </c>
      <c r="L34" s="56" t="s">
        <v>94</v>
      </c>
    </row>
    <row r="35" spans="2:13" ht="16.5" customHeight="1" x14ac:dyDescent="0.25">
      <c r="B35" s="23">
        <v>1</v>
      </c>
      <c r="C35" s="10" t="s">
        <v>4</v>
      </c>
      <c r="D35" s="24">
        <f>GFA!G3</f>
        <v>2270.04</v>
      </c>
      <c r="E35" s="24">
        <f>GFA!H3</f>
        <v>11.55</v>
      </c>
      <c r="F35" s="24">
        <f>D35*0.9</f>
        <v>2043.0360000000001</v>
      </c>
      <c r="G35" s="24">
        <f>'Acc. Dep'!Q3</f>
        <v>1902.2600000000002</v>
      </c>
      <c r="H35" s="24">
        <f>F35-G35</f>
        <v>140.77599999999984</v>
      </c>
      <c r="I35" s="25">
        <v>5</v>
      </c>
      <c r="J35" s="57">
        <f>(D35*90%-G35)/I35</f>
        <v>28.155199999999969</v>
      </c>
      <c r="K35" s="57">
        <f>E35*0.9/2/I35</f>
        <v>1.0395000000000001</v>
      </c>
      <c r="L35" s="58">
        <f>ROUND((K35+J35),2)</f>
        <v>29.19</v>
      </c>
      <c r="M35" s="26"/>
    </row>
    <row r="36" spans="2:13" ht="20.25" customHeight="1" x14ac:dyDescent="0.25">
      <c r="B36" s="23">
        <v>2</v>
      </c>
      <c r="C36" s="10" t="s">
        <v>5</v>
      </c>
      <c r="D36" s="24">
        <f>GFA!G4</f>
        <v>2473.23</v>
      </c>
      <c r="E36" s="24">
        <f>GFA!H4</f>
        <v>2.8</v>
      </c>
      <c r="F36" s="24">
        <f t="shared" ref="F36:F49" si="4">D36*0.9</f>
        <v>2225.9070000000002</v>
      </c>
      <c r="G36" s="24">
        <f>'Acc. Dep'!Q4</f>
        <v>1957.0500000000002</v>
      </c>
      <c r="H36" s="24">
        <f t="shared" ref="H36:H38" si="5">F36-G36</f>
        <v>268.85699999999997</v>
      </c>
      <c r="I36" s="75">
        <v>12</v>
      </c>
      <c r="J36" s="57">
        <f t="shared" ref="J36:J49" si="6">(D36*90%-G36)/I36</f>
        <v>22.404749999999996</v>
      </c>
      <c r="K36" s="57">
        <f t="shared" ref="K36:K49" si="7">E36*0.9/2/I36</f>
        <v>0.105</v>
      </c>
      <c r="L36" s="58">
        <f t="shared" ref="L36:L49" si="8">ROUND((K36+J36),2)</f>
        <v>22.51</v>
      </c>
      <c r="M36" s="26"/>
    </row>
    <row r="37" spans="2:13" ht="17.25" customHeight="1" x14ac:dyDescent="0.25">
      <c r="B37" s="23">
        <v>3</v>
      </c>
      <c r="C37" s="10" t="s">
        <v>6</v>
      </c>
      <c r="D37" s="24">
        <f>GFA!G5</f>
        <v>5109.13</v>
      </c>
      <c r="E37" s="24">
        <f>GFA!H5</f>
        <v>3.44</v>
      </c>
      <c r="F37" s="24">
        <f t="shared" si="4"/>
        <v>4598.2170000000006</v>
      </c>
      <c r="G37" s="24">
        <f>'Acc. Dep'!Q5</f>
        <v>1279.77</v>
      </c>
      <c r="H37" s="24">
        <f t="shared" si="5"/>
        <v>3318.4470000000006</v>
      </c>
      <c r="I37" s="75">
        <v>19</v>
      </c>
      <c r="J37" s="57">
        <f t="shared" si="6"/>
        <v>174.65510526315794</v>
      </c>
      <c r="K37" s="57">
        <f t="shared" si="7"/>
        <v>8.1473684210526323E-2</v>
      </c>
      <c r="L37" s="58">
        <f t="shared" si="8"/>
        <v>174.74</v>
      </c>
      <c r="M37" s="26"/>
    </row>
    <row r="38" spans="2:13" ht="17.25" customHeight="1" x14ac:dyDescent="0.25">
      <c r="B38" s="23">
        <v>4</v>
      </c>
      <c r="C38" s="10" t="s">
        <v>7</v>
      </c>
      <c r="D38" s="24">
        <f>GFA!G6</f>
        <v>127.08000000000001</v>
      </c>
      <c r="E38" s="24"/>
      <c r="F38" s="24">
        <f t="shared" si="4"/>
        <v>114.37200000000001</v>
      </c>
      <c r="G38" s="24">
        <v>111.05</v>
      </c>
      <c r="H38" s="24">
        <f t="shared" si="5"/>
        <v>3.3220000000000169</v>
      </c>
      <c r="I38" s="75"/>
      <c r="J38" s="57"/>
      <c r="K38" s="57"/>
      <c r="L38" s="58">
        <f>ROUND(H38,2)</f>
        <v>3.32</v>
      </c>
      <c r="M38" s="26"/>
    </row>
    <row r="39" spans="2:13" ht="16.5" customHeight="1" x14ac:dyDescent="0.25">
      <c r="B39" s="23">
        <v>5</v>
      </c>
      <c r="C39" s="10" t="s">
        <v>8</v>
      </c>
      <c r="D39" s="24">
        <f>GFA!G7</f>
        <v>2548.9699999999998</v>
      </c>
      <c r="E39" s="24">
        <f>GFA!H7</f>
        <v>0.26</v>
      </c>
      <c r="F39" s="24">
        <f t="shared" si="4"/>
        <v>2294.0729999999999</v>
      </c>
      <c r="G39" s="24">
        <f>'Acc. Dep'!Q7</f>
        <v>2101.66</v>
      </c>
      <c r="H39" s="24">
        <f t="shared" ref="H39:H45" si="9">F39-G39</f>
        <v>192.41300000000001</v>
      </c>
      <c r="I39" s="71">
        <v>11</v>
      </c>
      <c r="J39" s="57">
        <f t="shared" si="6"/>
        <v>17.492090909090908</v>
      </c>
      <c r="K39" s="57">
        <f t="shared" si="7"/>
        <v>1.0636363636363637E-2</v>
      </c>
      <c r="L39" s="58">
        <f t="shared" si="8"/>
        <v>17.5</v>
      </c>
      <c r="M39" s="26"/>
    </row>
    <row r="40" spans="2:13" ht="16.5" customHeight="1" x14ac:dyDescent="0.25">
      <c r="B40" s="23">
        <v>6</v>
      </c>
      <c r="C40" s="10" t="s">
        <v>9</v>
      </c>
      <c r="D40" s="24">
        <f>GFA!G8</f>
        <v>3769.46</v>
      </c>
      <c r="E40" s="24">
        <f>GFA!H8</f>
        <v>3.6098058740000001</v>
      </c>
      <c r="F40" s="24">
        <f t="shared" si="4"/>
        <v>3392.5140000000001</v>
      </c>
      <c r="G40" s="24">
        <f>'Acc. Dep'!Q8</f>
        <v>1471.11</v>
      </c>
      <c r="H40" s="24">
        <f t="shared" si="9"/>
        <v>1921.4040000000002</v>
      </c>
      <c r="I40" s="75">
        <v>17</v>
      </c>
      <c r="J40" s="57">
        <f t="shared" si="6"/>
        <v>113.02376470588237</v>
      </c>
      <c r="K40" s="57">
        <f t="shared" si="7"/>
        <v>9.5553684900000005E-2</v>
      </c>
      <c r="L40" s="58">
        <f t="shared" si="8"/>
        <v>113.12</v>
      </c>
      <c r="M40" s="26"/>
    </row>
    <row r="41" spans="2:13" ht="16.5" customHeight="1" x14ac:dyDescent="0.25">
      <c r="B41" s="23">
        <v>7</v>
      </c>
      <c r="C41" s="10" t="s">
        <v>10</v>
      </c>
      <c r="D41" s="24">
        <f>GFA!G9</f>
        <v>7445.28</v>
      </c>
      <c r="E41" s="24">
        <f>GFA!H9</f>
        <v>95.06</v>
      </c>
      <c r="F41" s="24">
        <f t="shared" si="4"/>
        <v>6700.7519999999995</v>
      </c>
      <c r="G41" s="24">
        <f>'Acc. Dep'!Q9</f>
        <v>1129.92</v>
      </c>
      <c r="H41" s="24">
        <f t="shared" si="9"/>
        <v>5570.8319999999994</v>
      </c>
      <c r="I41" s="75">
        <v>23</v>
      </c>
      <c r="J41" s="57">
        <f t="shared" si="6"/>
        <v>242.21008695652171</v>
      </c>
      <c r="K41" s="57">
        <f t="shared" si="7"/>
        <v>1.8598695652173913</v>
      </c>
      <c r="L41" s="266">
        <v>247.18</v>
      </c>
      <c r="M41" s="26" t="s">
        <v>405</v>
      </c>
    </row>
    <row r="42" spans="2:13" s="189" customFormat="1" ht="16.5" customHeight="1" x14ac:dyDescent="0.25">
      <c r="B42" s="182">
        <v>8</v>
      </c>
      <c r="C42" s="183" t="s">
        <v>11</v>
      </c>
      <c r="D42" s="184">
        <f>GFA!G10</f>
        <v>1923.46</v>
      </c>
      <c r="E42" s="184">
        <f>GFA!H10</f>
        <v>2.37</v>
      </c>
      <c r="F42" s="184">
        <f t="shared" si="4"/>
        <v>1731.114</v>
      </c>
      <c r="G42" s="184">
        <f>'Acc. Dep'!Q10</f>
        <v>1260.8</v>
      </c>
      <c r="H42" s="184">
        <f t="shared" si="9"/>
        <v>470.31400000000008</v>
      </c>
      <c r="I42" s="185">
        <v>8</v>
      </c>
      <c r="J42" s="186">
        <f t="shared" si="6"/>
        <v>58.78925000000001</v>
      </c>
      <c r="K42" s="186">
        <f t="shared" si="7"/>
        <v>0.1333125</v>
      </c>
      <c r="L42" s="187">
        <f t="shared" si="8"/>
        <v>58.92</v>
      </c>
      <c r="M42" s="188"/>
    </row>
    <row r="43" spans="2:13" ht="16.5" customHeight="1" x14ac:dyDescent="0.25">
      <c r="B43" s="23">
        <v>9</v>
      </c>
      <c r="C43" s="10" t="s">
        <v>12</v>
      </c>
      <c r="D43" s="24">
        <f>GFA!G11</f>
        <v>3384.21</v>
      </c>
      <c r="E43" s="24">
        <f>GFA!H11</f>
        <v>16.220000000000002</v>
      </c>
      <c r="F43" s="24">
        <f t="shared" si="4"/>
        <v>3045.7890000000002</v>
      </c>
      <c r="G43" s="24">
        <f>'Acc. Dep'!Q11</f>
        <v>1937.3300000000006</v>
      </c>
      <c r="H43" s="24">
        <f t="shared" si="9"/>
        <v>1108.4589999999996</v>
      </c>
      <c r="I43" s="71">
        <v>19</v>
      </c>
      <c r="J43" s="57">
        <f t="shared" si="6"/>
        <v>58.339947368421029</v>
      </c>
      <c r="K43" s="57">
        <f t="shared" si="7"/>
        <v>0.3841578947368422</v>
      </c>
      <c r="L43" s="58">
        <f t="shared" si="8"/>
        <v>58.72</v>
      </c>
      <c r="M43" s="26"/>
    </row>
    <row r="44" spans="2:13" ht="16.5" customHeight="1" x14ac:dyDescent="0.25">
      <c r="B44" s="23">
        <v>10</v>
      </c>
      <c r="C44" s="10" t="s">
        <v>13</v>
      </c>
      <c r="D44" s="24">
        <f>GFA!G12</f>
        <v>121.94</v>
      </c>
      <c r="E44" s="24">
        <f>GFA!H12</f>
        <v>0.04</v>
      </c>
      <c r="F44" s="24">
        <f t="shared" si="4"/>
        <v>109.746</v>
      </c>
      <c r="G44" s="24">
        <f>'Acc. Dep'!Q12</f>
        <v>93.2</v>
      </c>
      <c r="H44" s="24">
        <f t="shared" si="9"/>
        <v>16.545999999999992</v>
      </c>
      <c r="I44" s="71">
        <v>16</v>
      </c>
      <c r="J44" s="57">
        <f t="shared" si="6"/>
        <v>1.0341249999999995</v>
      </c>
      <c r="K44" s="57">
        <f t="shared" si="7"/>
        <v>1.1250000000000001E-3</v>
      </c>
      <c r="L44" s="58">
        <f t="shared" si="8"/>
        <v>1.04</v>
      </c>
      <c r="M44" s="26"/>
    </row>
    <row r="45" spans="2:13" ht="16.5" customHeight="1" x14ac:dyDescent="0.25">
      <c r="B45" s="23">
        <v>11</v>
      </c>
      <c r="C45" s="10" t="s">
        <v>14</v>
      </c>
      <c r="D45" s="24">
        <f>GFA!G13</f>
        <v>31.27</v>
      </c>
      <c r="E45" s="24">
        <f>GFA!H13</f>
        <v>0</v>
      </c>
      <c r="F45" s="24">
        <f t="shared" si="4"/>
        <v>28.143000000000001</v>
      </c>
      <c r="G45" s="24">
        <f>'Acc. Dep'!Q13</f>
        <v>21.259999999999994</v>
      </c>
      <c r="H45" s="24">
        <f t="shared" si="9"/>
        <v>6.8830000000000062</v>
      </c>
      <c r="I45" s="71">
        <v>20</v>
      </c>
      <c r="J45" s="57">
        <f t="shared" si="6"/>
        <v>0.34415000000000029</v>
      </c>
      <c r="K45" s="57">
        <f t="shared" si="7"/>
        <v>0</v>
      </c>
      <c r="L45" s="58">
        <f t="shared" si="8"/>
        <v>0.34</v>
      </c>
      <c r="M45" s="26"/>
    </row>
    <row r="46" spans="2:13" s="189" customFormat="1" ht="16.5" customHeight="1" x14ac:dyDescent="0.25">
      <c r="B46" s="182">
        <v>12</v>
      </c>
      <c r="C46" s="183" t="s">
        <v>15</v>
      </c>
      <c r="D46" s="184">
        <f>GFA!G14</f>
        <v>29.74</v>
      </c>
      <c r="E46" s="184">
        <f>GFA!H14</f>
        <v>0</v>
      </c>
      <c r="F46" s="184">
        <f t="shared" si="4"/>
        <v>26.765999999999998</v>
      </c>
      <c r="G46" s="184">
        <f>'Acc. Dep'!Q14</f>
        <v>11.690000000000003</v>
      </c>
      <c r="H46" s="184">
        <f>F46-G46</f>
        <v>15.075999999999995</v>
      </c>
      <c r="I46" s="193">
        <v>26</v>
      </c>
      <c r="J46" s="186">
        <f t="shared" si="6"/>
        <v>0.57984615384615368</v>
      </c>
      <c r="K46" s="186">
        <f t="shared" si="7"/>
        <v>0</v>
      </c>
      <c r="L46" s="187">
        <f t="shared" si="8"/>
        <v>0.57999999999999996</v>
      </c>
      <c r="M46" s="188"/>
    </row>
    <row r="47" spans="2:13" ht="16.5" customHeight="1" x14ac:dyDescent="0.25">
      <c r="B47" s="23">
        <v>13</v>
      </c>
      <c r="C47" s="10" t="s">
        <v>16</v>
      </c>
      <c r="D47" s="24">
        <f>GFA!G15</f>
        <v>692.5</v>
      </c>
      <c r="E47" s="24">
        <f>GFA!H15</f>
        <v>0.03</v>
      </c>
      <c r="F47" s="24">
        <f t="shared" si="4"/>
        <v>623.25</v>
      </c>
      <c r="G47" s="24">
        <f>'Acc. Dep'!Q15</f>
        <v>322.54999999999995</v>
      </c>
      <c r="H47" s="24">
        <f>F47-G47</f>
        <v>300.70000000000005</v>
      </c>
      <c r="I47" s="75">
        <v>27</v>
      </c>
      <c r="J47" s="57">
        <f t="shared" si="6"/>
        <v>11.13703703703704</v>
      </c>
      <c r="K47" s="57">
        <f t="shared" si="7"/>
        <v>5.0000000000000001E-4</v>
      </c>
      <c r="L47" s="58">
        <f t="shared" si="8"/>
        <v>11.14</v>
      </c>
      <c r="M47" s="26"/>
    </row>
    <row r="48" spans="2:13" ht="16.5" customHeight="1" x14ac:dyDescent="0.25">
      <c r="B48" s="23">
        <v>14</v>
      </c>
      <c r="C48" s="10" t="s">
        <v>17</v>
      </c>
      <c r="D48" s="24">
        <f>GFA!G16</f>
        <v>1635.81</v>
      </c>
      <c r="E48" s="24">
        <f>GFA!H16</f>
        <v>8.43</v>
      </c>
      <c r="F48" s="24">
        <f t="shared" si="4"/>
        <v>1472.229</v>
      </c>
      <c r="G48" s="24">
        <f>'Acc. Dep'!Q16</f>
        <v>611.43999999999994</v>
      </c>
      <c r="H48" s="24">
        <f t="shared" ref="H48:H49" si="10">F48-G48</f>
        <v>860.7890000000001</v>
      </c>
      <c r="I48" s="76">
        <v>32</v>
      </c>
      <c r="J48" s="57">
        <f t="shared" si="6"/>
        <v>26.899656250000003</v>
      </c>
      <c r="K48" s="57">
        <f t="shared" si="7"/>
        <v>0.118546875</v>
      </c>
      <c r="L48" s="58">
        <f t="shared" si="8"/>
        <v>27.02</v>
      </c>
      <c r="M48" s="26"/>
    </row>
    <row r="49" spans="2:13" ht="16.5" customHeight="1" x14ac:dyDescent="0.25">
      <c r="B49" s="23">
        <v>15</v>
      </c>
      <c r="C49" s="10" t="s">
        <v>18</v>
      </c>
      <c r="D49" s="24">
        <f>GFA!G17</f>
        <v>440.76000000000005</v>
      </c>
      <c r="E49" s="24">
        <f>GFA!H17</f>
        <v>0</v>
      </c>
      <c r="F49" s="24">
        <f t="shared" si="4"/>
        <v>396.68400000000003</v>
      </c>
      <c r="G49" s="24">
        <f>'Acc. Dep'!Q17</f>
        <v>85.82</v>
      </c>
      <c r="H49" s="24">
        <f t="shared" si="10"/>
        <v>310.86400000000003</v>
      </c>
      <c r="I49" s="75">
        <v>34</v>
      </c>
      <c r="J49" s="57">
        <f t="shared" si="6"/>
        <v>9.1430588235294135</v>
      </c>
      <c r="K49" s="57">
        <f t="shared" si="7"/>
        <v>0</v>
      </c>
      <c r="L49" s="58">
        <f t="shared" si="8"/>
        <v>9.14</v>
      </c>
      <c r="M49" s="26"/>
    </row>
    <row r="50" spans="2:13" ht="16.5" customHeight="1" x14ac:dyDescent="0.25">
      <c r="B50" s="21" t="s">
        <v>19</v>
      </c>
      <c r="C50" s="27"/>
      <c r="D50" s="28">
        <f>SUM(D35:D49)</f>
        <v>32002.879999999997</v>
      </c>
      <c r="E50" s="28">
        <f>SUM(E35:E49)</f>
        <v>143.80980587400001</v>
      </c>
      <c r="F50" s="28">
        <f>SUM(F35:F49)</f>
        <v>28802.592000000001</v>
      </c>
      <c r="G50" s="28">
        <f>SUM(G35:G49)</f>
        <v>14296.91</v>
      </c>
      <c r="H50" s="28">
        <f>SUM(H35:H49)</f>
        <v>14505.681999999999</v>
      </c>
      <c r="I50" s="73"/>
      <c r="J50" s="58">
        <f>SUM(J35:J49)</f>
        <v>764.20806846748656</v>
      </c>
      <c r="K50" s="58">
        <f>SUM(K35:K49)</f>
        <v>3.8296755677011234</v>
      </c>
      <c r="L50" s="58">
        <f>SUM(L35:L49)</f>
        <v>774.45999999999992</v>
      </c>
      <c r="M50" s="26"/>
    </row>
    <row r="52" spans="2:13" ht="16.5" customHeight="1" x14ac:dyDescent="0.25">
      <c r="C52" s="148"/>
      <c r="D52" s="148"/>
      <c r="E52" s="148"/>
      <c r="F52" s="148"/>
      <c r="G52" s="148" t="s">
        <v>134</v>
      </c>
      <c r="H52" s="148"/>
      <c r="I52" s="148"/>
      <c r="J52" s="148"/>
      <c r="K52" s="148"/>
      <c r="L52" s="148"/>
    </row>
    <row r="53" spans="2:13" ht="13.5" customHeight="1" x14ac:dyDescent="0.25">
      <c r="L53" s="20" t="s">
        <v>117</v>
      </c>
    </row>
    <row r="54" spans="2:13" ht="66" customHeight="1" x14ac:dyDescent="0.25">
      <c r="B54" s="1" t="s">
        <v>1</v>
      </c>
      <c r="C54" s="9" t="s">
        <v>2</v>
      </c>
      <c r="D54" s="9" t="s">
        <v>131</v>
      </c>
      <c r="E54" s="9" t="s">
        <v>313</v>
      </c>
      <c r="F54" s="9" t="s">
        <v>33</v>
      </c>
      <c r="G54" s="154" t="s">
        <v>142</v>
      </c>
      <c r="H54" s="9" t="s">
        <v>113</v>
      </c>
      <c r="I54" s="9" t="s">
        <v>34</v>
      </c>
      <c r="J54" s="56" t="s">
        <v>115</v>
      </c>
      <c r="K54" s="155" t="s">
        <v>116</v>
      </c>
      <c r="L54" s="56" t="s">
        <v>94</v>
      </c>
    </row>
    <row r="55" spans="2:13" ht="16.5" customHeight="1" x14ac:dyDescent="0.25">
      <c r="B55" s="23">
        <v>1</v>
      </c>
      <c r="C55" s="10" t="s">
        <v>4</v>
      </c>
      <c r="D55" s="24">
        <f>GFA!I3</f>
        <v>2281.59</v>
      </c>
      <c r="E55" s="24">
        <f>GFA!J3</f>
        <v>0</v>
      </c>
      <c r="F55" s="24">
        <f>D55*0.9</f>
        <v>2053.431</v>
      </c>
      <c r="G55" s="24">
        <f>'Acc. Dep'!S3</f>
        <v>1931.4500000000003</v>
      </c>
      <c r="H55" s="24">
        <f>F55-G55</f>
        <v>121.98099999999977</v>
      </c>
      <c r="I55" s="25">
        <f>I35-1</f>
        <v>4</v>
      </c>
      <c r="J55" s="57">
        <f>(D55*90%-G55)/I55</f>
        <v>30.495249999999942</v>
      </c>
      <c r="K55" s="57">
        <f>E55*0.9/I55/2</f>
        <v>0</v>
      </c>
      <c r="L55" s="58">
        <f>ROUND((K55+J55),2)</f>
        <v>30.5</v>
      </c>
    </row>
    <row r="56" spans="2:13" ht="20.25" customHeight="1" x14ac:dyDescent="0.25">
      <c r="B56" s="23">
        <v>2</v>
      </c>
      <c r="C56" s="10" t="s">
        <v>5</v>
      </c>
      <c r="D56" s="24">
        <f>GFA!I4</f>
        <v>2476.0300000000002</v>
      </c>
      <c r="E56" s="24">
        <f>GFA!J4</f>
        <v>0.18</v>
      </c>
      <c r="F56" s="24">
        <f t="shared" ref="F56:F68" si="11">D56*0.9</f>
        <v>2228.4270000000001</v>
      </c>
      <c r="G56" s="24">
        <f>'Acc. Dep'!S4</f>
        <v>1979.5600000000002</v>
      </c>
      <c r="H56" s="24">
        <f t="shared" ref="H56:H57" si="12">F56-G56</f>
        <v>248.86699999999996</v>
      </c>
      <c r="I56" s="25">
        <f>I36-1</f>
        <v>11</v>
      </c>
      <c r="J56" s="57">
        <f t="shared" ref="J56:J68" si="13">(D56*90%-G56)/I56</f>
        <v>22.624272727272725</v>
      </c>
      <c r="K56" s="57">
        <f t="shared" ref="K56:K68" si="14">E56*0.9/I56/2</f>
        <v>7.3636363636363639E-3</v>
      </c>
      <c r="L56" s="58">
        <f t="shared" ref="L56:L68" si="15">ROUND((K56+J56),2)</f>
        <v>22.63</v>
      </c>
    </row>
    <row r="57" spans="2:13" ht="17.25" customHeight="1" x14ac:dyDescent="0.25">
      <c r="B57" s="23">
        <v>3</v>
      </c>
      <c r="C57" s="10" t="s">
        <v>6</v>
      </c>
      <c r="D57" s="24">
        <f>GFA!I5</f>
        <v>5112.57</v>
      </c>
      <c r="E57" s="24">
        <f>GFA!J5</f>
        <v>0</v>
      </c>
      <c r="F57" s="24">
        <f t="shared" si="11"/>
        <v>4601.3130000000001</v>
      </c>
      <c r="G57" s="24">
        <f>'Acc. Dep'!S5</f>
        <v>1454.51</v>
      </c>
      <c r="H57" s="24">
        <f t="shared" si="12"/>
        <v>3146.8029999999999</v>
      </c>
      <c r="I57" s="25">
        <f>I37-1</f>
        <v>18</v>
      </c>
      <c r="J57" s="57">
        <f t="shared" si="13"/>
        <v>174.8223888888889</v>
      </c>
      <c r="K57" s="57">
        <f t="shared" si="14"/>
        <v>0</v>
      </c>
      <c r="L57" s="58">
        <f t="shared" si="15"/>
        <v>174.82</v>
      </c>
    </row>
    <row r="58" spans="2:13" ht="16.5" customHeight="1" x14ac:dyDescent="0.25">
      <c r="B58" s="23">
        <v>4</v>
      </c>
      <c r="C58" s="10" t="s">
        <v>8</v>
      </c>
      <c r="D58" s="24">
        <f>GFA!I7</f>
        <v>2549.23</v>
      </c>
      <c r="E58" s="24">
        <f>GFA!J7</f>
        <v>8.32</v>
      </c>
      <c r="F58" s="24">
        <f t="shared" si="11"/>
        <v>2294.3070000000002</v>
      </c>
      <c r="G58" s="24">
        <f>'Acc. Dep'!S7</f>
        <v>2119.16</v>
      </c>
      <c r="H58" s="24">
        <f t="shared" ref="H58:H64" si="16">F58-G58</f>
        <v>175.14700000000039</v>
      </c>
      <c r="I58" s="25">
        <f t="shared" ref="I58:I68" si="17">I39-1</f>
        <v>10</v>
      </c>
      <c r="J58" s="57">
        <f t="shared" si="13"/>
        <v>17.51470000000004</v>
      </c>
      <c r="K58" s="57">
        <f t="shared" si="14"/>
        <v>0.37440000000000001</v>
      </c>
      <c r="L58" s="58">
        <f t="shared" si="15"/>
        <v>17.89</v>
      </c>
    </row>
    <row r="59" spans="2:13" ht="16.5" customHeight="1" x14ac:dyDescent="0.25">
      <c r="B59" s="23">
        <v>5</v>
      </c>
      <c r="C59" s="10" t="s">
        <v>9</v>
      </c>
      <c r="D59" s="24">
        <f>GFA!I8</f>
        <v>3773.0698058739999</v>
      </c>
      <c r="E59" s="24">
        <f>GFA!J8</f>
        <v>5.2</v>
      </c>
      <c r="F59" s="24">
        <f t="shared" si="11"/>
        <v>3395.7628252866002</v>
      </c>
      <c r="G59" s="24">
        <f>'Acc. Dep'!S8</f>
        <v>1584.23</v>
      </c>
      <c r="H59" s="24">
        <f t="shared" si="16"/>
        <v>1811.5328252866002</v>
      </c>
      <c r="I59" s="25">
        <f t="shared" si="17"/>
        <v>16</v>
      </c>
      <c r="J59" s="57">
        <f t="shared" si="13"/>
        <v>113.22080158041251</v>
      </c>
      <c r="K59" s="57">
        <f t="shared" si="14"/>
        <v>0.14625000000000002</v>
      </c>
      <c r="L59" s="58">
        <f t="shared" si="15"/>
        <v>113.37</v>
      </c>
    </row>
    <row r="60" spans="2:13" ht="16.5" customHeight="1" x14ac:dyDescent="0.25">
      <c r="B60" s="23">
        <v>6</v>
      </c>
      <c r="C60" s="10" t="s">
        <v>10</v>
      </c>
      <c r="D60" s="24">
        <f>GFA!I9</f>
        <v>7540.34</v>
      </c>
      <c r="E60" s="24">
        <f>GFA!J9</f>
        <v>39.22</v>
      </c>
      <c r="F60" s="24">
        <f t="shared" si="11"/>
        <v>6786.3060000000005</v>
      </c>
      <c r="G60" s="24">
        <f>'Acc. Dep'!S9</f>
        <v>1377.1000000000001</v>
      </c>
      <c r="H60" s="24">
        <f t="shared" si="16"/>
        <v>5409.2060000000001</v>
      </c>
      <c r="I60" s="25">
        <f t="shared" si="17"/>
        <v>22</v>
      </c>
      <c r="J60" s="57">
        <f>L41</f>
        <v>247.18</v>
      </c>
      <c r="K60" s="57">
        <f t="shared" si="14"/>
        <v>0.80222727272727279</v>
      </c>
      <c r="L60" s="58">
        <f t="shared" si="15"/>
        <v>247.98</v>
      </c>
      <c r="M60" s="20"/>
    </row>
    <row r="61" spans="2:13" ht="16.5" customHeight="1" x14ac:dyDescent="0.25">
      <c r="B61" s="23">
        <v>7</v>
      </c>
      <c r="C61" s="10" t="s">
        <v>11</v>
      </c>
      <c r="D61" s="24">
        <f>GFA!I10</f>
        <v>1925.83</v>
      </c>
      <c r="E61" s="24">
        <f>GFA!J10</f>
        <v>0</v>
      </c>
      <c r="F61" s="24">
        <f t="shared" si="11"/>
        <v>1733.2470000000001</v>
      </c>
      <c r="G61" s="24">
        <f>'Acc. Dep'!S10</f>
        <v>1319.72</v>
      </c>
      <c r="H61" s="24">
        <f t="shared" si="16"/>
        <v>413.52700000000004</v>
      </c>
      <c r="I61" s="25">
        <f t="shared" si="17"/>
        <v>7</v>
      </c>
      <c r="J61" s="57">
        <f t="shared" si="13"/>
        <v>59.07528571428572</v>
      </c>
      <c r="K61" s="57">
        <f t="shared" si="14"/>
        <v>0</v>
      </c>
      <c r="L61" s="58">
        <f t="shared" si="15"/>
        <v>59.08</v>
      </c>
    </row>
    <row r="62" spans="2:13" ht="16.5" customHeight="1" x14ac:dyDescent="0.25">
      <c r="B62" s="23">
        <v>8</v>
      </c>
      <c r="C62" s="10" t="s">
        <v>12</v>
      </c>
      <c r="D62" s="24">
        <f>GFA!I11</f>
        <v>3400.43</v>
      </c>
      <c r="E62" s="24">
        <f>GFA!J11</f>
        <v>0</v>
      </c>
      <c r="F62" s="24">
        <f t="shared" si="11"/>
        <v>3060.3869999999997</v>
      </c>
      <c r="G62" s="24">
        <f>'Acc. Dep'!S11</f>
        <v>1996.0500000000006</v>
      </c>
      <c r="H62" s="24">
        <f t="shared" si="16"/>
        <v>1064.3369999999991</v>
      </c>
      <c r="I62" s="25">
        <f t="shared" si="17"/>
        <v>18</v>
      </c>
      <c r="J62" s="57">
        <f t="shared" si="13"/>
        <v>59.129833333333281</v>
      </c>
      <c r="K62" s="57">
        <f t="shared" si="14"/>
        <v>0</v>
      </c>
      <c r="L62" s="58">
        <f t="shared" si="15"/>
        <v>59.13</v>
      </c>
    </row>
    <row r="63" spans="2:13" ht="16.5" customHeight="1" x14ac:dyDescent="0.25">
      <c r="B63" s="23">
        <v>9</v>
      </c>
      <c r="C63" s="10" t="s">
        <v>13</v>
      </c>
      <c r="D63" s="24">
        <f>GFA!I12</f>
        <v>121.98</v>
      </c>
      <c r="E63" s="24">
        <f>GFA!J12</f>
        <v>0</v>
      </c>
      <c r="F63" s="24">
        <f t="shared" si="11"/>
        <v>109.78200000000001</v>
      </c>
      <c r="G63" s="24">
        <f>'Acc. Dep'!S12</f>
        <v>94.240000000000009</v>
      </c>
      <c r="H63" s="24">
        <f t="shared" si="16"/>
        <v>15.542000000000002</v>
      </c>
      <c r="I63" s="25">
        <f t="shared" si="17"/>
        <v>15</v>
      </c>
      <c r="J63" s="57">
        <f t="shared" si="13"/>
        <v>1.0361333333333334</v>
      </c>
      <c r="K63" s="57">
        <f t="shared" si="14"/>
        <v>0</v>
      </c>
      <c r="L63" s="58">
        <f t="shared" si="15"/>
        <v>1.04</v>
      </c>
    </row>
    <row r="64" spans="2:13" ht="16.5" customHeight="1" x14ac:dyDescent="0.25">
      <c r="B64" s="23">
        <v>10</v>
      </c>
      <c r="C64" s="10" t="s">
        <v>14</v>
      </c>
      <c r="D64" s="24">
        <f>GFA!I13</f>
        <v>31.27</v>
      </c>
      <c r="E64" s="24">
        <f>GFA!J13</f>
        <v>0</v>
      </c>
      <c r="F64" s="24">
        <f t="shared" si="11"/>
        <v>28.143000000000001</v>
      </c>
      <c r="G64" s="24">
        <f>'Acc. Dep'!S13</f>
        <v>21.599999999999994</v>
      </c>
      <c r="H64" s="24">
        <f t="shared" si="16"/>
        <v>6.5430000000000064</v>
      </c>
      <c r="I64" s="25">
        <f t="shared" si="17"/>
        <v>19</v>
      </c>
      <c r="J64" s="57">
        <f t="shared" si="13"/>
        <v>0.34436842105263193</v>
      </c>
      <c r="K64" s="57">
        <f t="shared" si="14"/>
        <v>0</v>
      </c>
      <c r="L64" s="58">
        <f t="shared" si="15"/>
        <v>0.34</v>
      </c>
    </row>
    <row r="65" spans="2:13" ht="16.5" customHeight="1" x14ac:dyDescent="0.25">
      <c r="B65" s="23">
        <v>11</v>
      </c>
      <c r="C65" s="10" t="s">
        <v>15</v>
      </c>
      <c r="D65" s="24">
        <f>GFA!I14</f>
        <v>29.74</v>
      </c>
      <c r="E65" s="24">
        <f>GFA!J14</f>
        <v>0</v>
      </c>
      <c r="F65" s="24">
        <f t="shared" si="11"/>
        <v>26.765999999999998</v>
      </c>
      <c r="G65" s="24">
        <f>'Acc. Dep'!S14</f>
        <v>12.270000000000003</v>
      </c>
      <c r="H65" s="24">
        <f>F65-G65</f>
        <v>14.495999999999995</v>
      </c>
      <c r="I65" s="25">
        <f t="shared" si="17"/>
        <v>25</v>
      </c>
      <c r="J65" s="57">
        <f t="shared" si="13"/>
        <v>0.5798399999999998</v>
      </c>
      <c r="K65" s="57">
        <f t="shared" si="14"/>
        <v>0</v>
      </c>
      <c r="L65" s="58">
        <f t="shared" si="15"/>
        <v>0.57999999999999996</v>
      </c>
    </row>
    <row r="66" spans="2:13" ht="16.5" customHeight="1" x14ac:dyDescent="0.25">
      <c r="B66" s="23">
        <v>12</v>
      </c>
      <c r="C66" s="10" t="s">
        <v>16</v>
      </c>
      <c r="D66" s="24">
        <f>GFA!I15</f>
        <v>692.53</v>
      </c>
      <c r="E66" s="24">
        <f>GFA!J15</f>
        <v>0</v>
      </c>
      <c r="F66" s="24">
        <f t="shared" si="11"/>
        <v>623.27700000000004</v>
      </c>
      <c r="G66" s="24">
        <f>'Acc. Dep'!S15</f>
        <v>333.68999999999994</v>
      </c>
      <c r="H66" s="24">
        <f>F66-G66</f>
        <v>289.5870000000001</v>
      </c>
      <c r="I66" s="25">
        <f t="shared" si="17"/>
        <v>26</v>
      </c>
      <c r="J66" s="57">
        <f t="shared" si="13"/>
        <v>11.137961538461543</v>
      </c>
      <c r="K66" s="57">
        <f t="shared" si="14"/>
        <v>0</v>
      </c>
      <c r="L66" s="58">
        <f t="shared" si="15"/>
        <v>11.14</v>
      </c>
    </row>
    <row r="67" spans="2:13" ht="16.5" customHeight="1" x14ac:dyDescent="0.25">
      <c r="B67" s="23">
        <v>13</v>
      </c>
      <c r="C67" s="10" t="s">
        <v>17</v>
      </c>
      <c r="D67" s="24">
        <f>GFA!I16</f>
        <v>1644.24</v>
      </c>
      <c r="E67" s="24">
        <f>GFA!J16</f>
        <v>0</v>
      </c>
      <c r="F67" s="24">
        <f t="shared" si="11"/>
        <v>1479.816</v>
      </c>
      <c r="G67" s="24">
        <f>'Acc. Dep'!S16</f>
        <v>638.45999999999992</v>
      </c>
      <c r="H67" s="24">
        <f t="shared" ref="H67:H68" si="18">F67-G67</f>
        <v>841.35600000000011</v>
      </c>
      <c r="I67" s="25">
        <f t="shared" si="17"/>
        <v>31</v>
      </c>
      <c r="J67" s="57">
        <f t="shared" si="13"/>
        <v>27.14051612903226</v>
      </c>
      <c r="K67" s="57">
        <f t="shared" si="14"/>
        <v>0</v>
      </c>
      <c r="L67" s="58">
        <f t="shared" si="15"/>
        <v>27.14</v>
      </c>
    </row>
    <row r="68" spans="2:13" ht="16.5" customHeight="1" x14ac:dyDescent="0.25">
      <c r="B68" s="23">
        <v>14</v>
      </c>
      <c r="C68" s="10" t="s">
        <v>18</v>
      </c>
      <c r="D68" s="24">
        <f>GFA!I17</f>
        <v>440.76000000000005</v>
      </c>
      <c r="E68" s="24">
        <f>GFA!J17</f>
        <v>0</v>
      </c>
      <c r="F68" s="24">
        <f t="shared" si="11"/>
        <v>396.68400000000003</v>
      </c>
      <c r="G68" s="24">
        <f>'Acc. Dep'!S17</f>
        <v>94.96</v>
      </c>
      <c r="H68" s="24">
        <f t="shared" si="18"/>
        <v>301.72400000000005</v>
      </c>
      <c r="I68" s="25">
        <f t="shared" si="17"/>
        <v>33</v>
      </c>
      <c r="J68" s="57">
        <f t="shared" si="13"/>
        <v>9.1431515151515157</v>
      </c>
      <c r="K68" s="57">
        <f t="shared" si="14"/>
        <v>0</v>
      </c>
      <c r="L68" s="58">
        <f t="shared" si="15"/>
        <v>9.14</v>
      </c>
    </row>
    <row r="69" spans="2:13" ht="16.5" customHeight="1" x14ac:dyDescent="0.25">
      <c r="C69" s="21" t="s">
        <v>19</v>
      </c>
      <c r="D69" s="28">
        <f>SUM(D55:D68)</f>
        <v>32019.609805873999</v>
      </c>
      <c r="E69" s="28">
        <f>SUM(E55:E68)</f>
        <v>52.92</v>
      </c>
      <c r="F69" s="28">
        <f>SUM(F55:F68)</f>
        <v>28817.648825286597</v>
      </c>
      <c r="G69" s="28">
        <f>SUM(G55:G68)</f>
        <v>14957</v>
      </c>
      <c r="H69" s="28">
        <f>SUM(H55:H68)</f>
        <v>13860.648825286598</v>
      </c>
      <c r="I69" s="73"/>
      <c r="J69" s="58">
        <f>SUM(J55:J68)</f>
        <v>773.44450318122438</v>
      </c>
      <c r="K69" s="58">
        <f>SUM(K55:K68)</f>
        <v>1.3302409090909091</v>
      </c>
      <c r="L69" s="58">
        <f>SUM(L55:L68)</f>
        <v>774.78</v>
      </c>
    </row>
    <row r="70" spans="2:13" ht="10.5" customHeight="1" x14ac:dyDescent="0.25"/>
    <row r="71" spans="2:13" ht="16.5" customHeight="1" x14ac:dyDescent="0.25">
      <c r="C71" s="148"/>
      <c r="D71" s="148"/>
      <c r="E71" s="148"/>
      <c r="F71" s="148"/>
      <c r="G71" s="148" t="s">
        <v>135</v>
      </c>
      <c r="H71" s="148"/>
      <c r="I71" s="148"/>
      <c r="J71" s="148"/>
      <c r="K71" s="148"/>
      <c r="L71" s="148"/>
    </row>
    <row r="72" spans="2:13" ht="13.5" customHeight="1" x14ac:dyDescent="0.25">
      <c r="L72" s="20" t="s">
        <v>117</v>
      </c>
    </row>
    <row r="73" spans="2:13" customFormat="1" ht="80.25" customHeight="1" x14ac:dyDescent="0.25">
      <c r="B73" s="1" t="s">
        <v>1</v>
      </c>
      <c r="C73" s="1" t="s">
        <v>2</v>
      </c>
      <c r="D73" s="1" t="s">
        <v>143</v>
      </c>
      <c r="E73" s="9" t="s">
        <v>313</v>
      </c>
      <c r="F73" s="1" t="s">
        <v>33</v>
      </c>
      <c r="G73" s="154" t="s">
        <v>146</v>
      </c>
      <c r="H73" s="1" t="s">
        <v>113</v>
      </c>
      <c r="I73" s="1" t="s">
        <v>34</v>
      </c>
      <c r="J73" s="156" t="s">
        <v>115</v>
      </c>
      <c r="K73" s="155" t="s">
        <v>116</v>
      </c>
      <c r="L73" s="156" t="s">
        <v>94</v>
      </c>
    </row>
    <row r="74" spans="2:13" ht="16.5" customHeight="1" x14ac:dyDescent="0.25">
      <c r="B74" s="23">
        <v>1</v>
      </c>
      <c r="C74" s="10" t="s">
        <v>4</v>
      </c>
      <c r="D74" s="24">
        <f>GFA!K3</f>
        <v>2281.59</v>
      </c>
      <c r="E74" s="24">
        <f>GFA!L3</f>
        <v>27.08</v>
      </c>
      <c r="F74" s="24">
        <f>D74*0.9</f>
        <v>2053.431</v>
      </c>
      <c r="G74" s="24">
        <f>'Acc. Dep'!U3</f>
        <v>1961.9500000000003</v>
      </c>
      <c r="H74" s="24">
        <f>F74-G74</f>
        <v>91.480999999999767</v>
      </c>
      <c r="I74" s="25">
        <f t="shared" ref="I74:I76" si="19">I55-1</f>
        <v>3</v>
      </c>
      <c r="J74" s="57">
        <f>(D74*90%-G74)/I74</f>
        <v>30.493666666666588</v>
      </c>
      <c r="K74" s="57">
        <f>E74*0.9/I74/2</f>
        <v>4.0620000000000003</v>
      </c>
      <c r="L74" s="58">
        <f>ROUND((K74+J74),2)</f>
        <v>34.56</v>
      </c>
    </row>
    <row r="75" spans="2:13" ht="20.25" customHeight="1" x14ac:dyDescent="0.25">
      <c r="B75" s="23">
        <v>2</v>
      </c>
      <c r="C75" s="10" t="s">
        <v>5</v>
      </c>
      <c r="D75" s="24">
        <f>GFA!K4</f>
        <v>2476.21</v>
      </c>
      <c r="E75" s="24">
        <f>GFA!L4</f>
        <v>27.08</v>
      </c>
      <c r="F75" s="24">
        <f t="shared" ref="F75:F88" si="20">D75*0.9</f>
        <v>2228.5889999999999</v>
      </c>
      <c r="G75" s="24">
        <f>'Acc. Dep'!U4</f>
        <v>2002.1900000000003</v>
      </c>
      <c r="H75" s="24">
        <f t="shared" ref="H75:H76" si="21">F75-G75</f>
        <v>226.39899999999966</v>
      </c>
      <c r="I75" s="25">
        <f t="shared" si="19"/>
        <v>10</v>
      </c>
      <c r="J75" s="57">
        <f t="shared" ref="J75:J88" si="22">(D75*90%-G75)/I75</f>
        <v>22.639899999999965</v>
      </c>
      <c r="K75" s="57">
        <f t="shared" ref="K75:K88" si="23">E75*0.9/I75/2</f>
        <v>1.2185999999999999</v>
      </c>
      <c r="L75" s="58">
        <f t="shared" ref="L75:L88" si="24">ROUND((K75+J75),2)</f>
        <v>23.86</v>
      </c>
    </row>
    <row r="76" spans="2:13" ht="17.25" customHeight="1" x14ac:dyDescent="0.25">
      <c r="B76" s="23">
        <v>3</v>
      </c>
      <c r="C76" s="10" t="s">
        <v>6</v>
      </c>
      <c r="D76" s="24">
        <f>GFA!K5</f>
        <v>5112.57</v>
      </c>
      <c r="E76" s="24">
        <f>GFA!L5</f>
        <v>4.97</v>
      </c>
      <c r="F76" s="24">
        <f t="shared" si="20"/>
        <v>4601.3130000000001</v>
      </c>
      <c r="G76" s="24">
        <f>'Acc. Dep'!U5</f>
        <v>1629.33</v>
      </c>
      <c r="H76" s="24">
        <f t="shared" si="21"/>
        <v>2971.9830000000002</v>
      </c>
      <c r="I76" s="25">
        <f t="shared" si="19"/>
        <v>17</v>
      </c>
      <c r="J76" s="57">
        <f t="shared" si="22"/>
        <v>174.82252941176472</v>
      </c>
      <c r="K76" s="57">
        <f t="shared" si="23"/>
        <v>0.13155882352941176</v>
      </c>
      <c r="L76" s="58">
        <f t="shared" si="24"/>
        <v>174.95</v>
      </c>
    </row>
    <row r="77" spans="2:13" ht="17.25" customHeight="1" x14ac:dyDescent="0.25">
      <c r="B77" s="23"/>
      <c r="C77" s="10"/>
      <c r="D77" s="24"/>
      <c r="E77" s="24"/>
      <c r="F77" s="24"/>
      <c r="G77" s="24"/>
      <c r="H77" s="24"/>
      <c r="I77" s="25"/>
      <c r="J77" s="57"/>
      <c r="K77" s="57"/>
      <c r="L77" s="58"/>
    </row>
    <row r="78" spans="2:13" ht="16.5" customHeight="1" x14ac:dyDescent="0.25">
      <c r="B78" s="23">
        <v>4</v>
      </c>
      <c r="C78" s="10" t="s">
        <v>8</v>
      </c>
      <c r="D78" s="24">
        <f>GFA!K7</f>
        <v>2557.5500000000002</v>
      </c>
      <c r="E78" s="24">
        <f>GFA!L7</f>
        <v>0</v>
      </c>
      <c r="F78" s="24">
        <f t="shared" si="20"/>
        <v>2301.7950000000001</v>
      </c>
      <c r="G78" s="24">
        <f>'Acc. Dep'!U7</f>
        <v>2137.0499999999997</v>
      </c>
      <c r="H78" s="24">
        <f t="shared" ref="H78:H84" si="25">F78-G78</f>
        <v>164.74500000000035</v>
      </c>
      <c r="I78" s="25">
        <f t="shared" ref="I78:I88" si="26">I58-1</f>
        <v>9</v>
      </c>
      <c r="J78" s="57">
        <f t="shared" si="22"/>
        <v>18.305000000000039</v>
      </c>
      <c r="K78" s="57">
        <f t="shared" si="23"/>
        <v>0</v>
      </c>
      <c r="L78" s="58">
        <f t="shared" si="24"/>
        <v>18.309999999999999</v>
      </c>
    </row>
    <row r="79" spans="2:13" ht="16.5" customHeight="1" x14ac:dyDescent="0.25">
      <c r="B79" s="23">
        <v>5</v>
      </c>
      <c r="C79" s="10" t="s">
        <v>9</v>
      </c>
      <c r="D79" s="24">
        <f>GFA!K8</f>
        <v>3778.2698058739998</v>
      </c>
      <c r="E79" s="24">
        <f>GFA!L8</f>
        <v>93</v>
      </c>
      <c r="F79" s="24">
        <f t="shared" si="20"/>
        <v>3400.4428252866001</v>
      </c>
      <c r="G79" s="24">
        <f>'Acc. Dep'!U8</f>
        <v>1697.6</v>
      </c>
      <c r="H79" s="24">
        <f t="shared" si="25"/>
        <v>1702.8428252866001</v>
      </c>
      <c r="I79" s="25">
        <f t="shared" si="26"/>
        <v>15</v>
      </c>
      <c r="J79" s="57">
        <f t="shared" si="22"/>
        <v>113.52285501910667</v>
      </c>
      <c r="K79" s="57">
        <f t="shared" si="23"/>
        <v>2.79</v>
      </c>
      <c r="L79" s="58">
        <f t="shared" si="24"/>
        <v>116.31</v>
      </c>
    </row>
    <row r="80" spans="2:13" ht="16.5" customHeight="1" x14ac:dyDescent="0.25">
      <c r="B80" s="23">
        <v>6</v>
      </c>
      <c r="C80" s="10" t="s">
        <v>10</v>
      </c>
      <c r="D80" s="24">
        <f>GFA!K9</f>
        <v>7579.56</v>
      </c>
      <c r="E80" s="24">
        <f>GFA!L9</f>
        <v>889.13</v>
      </c>
      <c r="F80" s="24">
        <f t="shared" si="20"/>
        <v>6821.6040000000003</v>
      </c>
      <c r="G80" s="24">
        <f>'Acc. Dep'!U9</f>
        <v>1625.0800000000002</v>
      </c>
      <c r="H80" s="24">
        <f t="shared" si="25"/>
        <v>5196.5240000000003</v>
      </c>
      <c r="I80" s="25">
        <f t="shared" si="26"/>
        <v>21</v>
      </c>
      <c r="J80" s="57">
        <f>L60</f>
        <v>247.98</v>
      </c>
      <c r="K80" s="57">
        <f t="shared" si="23"/>
        <v>19.052785714285715</v>
      </c>
      <c r="L80" s="58">
        <f t="shared" si="24"/>
        <v>267.02999999999997</v>
      </c>
      <c r="M80" s="20"/>
    </row>
    <row r="81" spans="2:12" ht="16.5" customHeight="1" x14ac:dyDescent="0.25">
      <c r="B81" s="23">
        <v>7</v>
      </c>
      <c r="C81" s="10" t="s">
        <v>11</v>
      </c>
      <c r="D81" s="24">
        <f>GFA!K10</f>
        <v>1925.83</v>
      </c>
      <c r="E81" s="24">
        <f>GFA!L10</f>
        <v>0</v>
      </c>
      <c r="F81" s="24">
        <f t="shared" si="20"/>
        <v>1733.2470000000001</v>
      </c>
      <c r="G81" s="24">
        <f>'Acc. Dep'!U10</f>
        <v>1378.8</v>
      </c>
      <c r="H81" s="24">
        <f t="shared" si="25"/>
        <v>354.44700000000012</v>
      </c>
      <c r="I81" s="25">
        <f t="shared" si="26"/>
        <v>6</v>
      </c>
      <c r="J81" s="57">
        <f t="shared" si="22"/>
        <v>59.074500000000022</v>
      </c>
      <c r="K81" s="57">
        <f t="shared" si="23"/>
        <v>0</v>
      </c>
      <c r="L81" s="58">
        <f t="shared" si="24"/>
        <v>59.07</v>
      </c>
    </row>
    <row r="82" spans="2:12" ht="16.5" customHeight="1" x14ac:dyDescent="0.25">
      <c r="B82" s="23">
        <v>8</v>
      </c>
      <c r="C82" s="10" t="s">
        <v>12</v>
      </c>
      <c r="D82" s="24">
        <f>GFA!K11</f>
        <v>3400.43</v>
      </c>
      <c r="E82" s="24">
        <f>GFA!L11</f>
        <v>0</v>
      </c>
      <c r="F82" s="24">
        <f t="shared" si="20"/>
        <v>3060.3869999999997</v>
      </c>
      <c r="G82" s="24">
        <f>'Acc. Dep'!U11</f>
        <v>2055.1800000000007</v>
      </c>
      <c r="H82" s="24">
        <f t="shared" si="25"/>
        <v>1005.206999999999</v>
      </c>
      <c r="I82" s="25">
        <f t="shared" si="26"/>
        <v>17</v>
      </c>
      <c r="J82" s="57">
        <f t="shared" si="22"/>
        <v>59.129823529411702</v>
      </c>
      <c r="K82" s="57">
        <f t="shared" si="23"/>
        <v>0</v>
      </c>
      <c r="L82" s="58">
        <f t="shared" si="24"/>
        <v>59.13</v>
      </c>
    </row>
    <row r="83" spans="2:12" ht="16.5" customHeight="1" x14ac:dyDescent="0.25">
      <c r="B83" s="23">
        <v>9</v>
      </c>
      <c r="C83" s="10" t="s">
        <v>13</v>
      </c>
      <c r="D83" s="24">
        <f>GFA!K12</f>
        <v>121.98</v>
      </c>
      <c r="E83" s="24">
        <f>GFA!L12</f>
        <v>0</v>
      </c>
      <c r="F83" s="24">
        <f t="shared" si="20"/>
        <v>109.78200000000001</v>
      </c>
      <c r="G83" s="24">
        <f>'Acc. Dep'!U12</f>
        <v>95.280000000000015</v>
      </c>
      <c r="H83" s="24">
        <f t="shared" si="25"/>
        <v>14.501999999999995</v>
      </c>
      <c r="I83" s="25">
        <f t="shared" si="26"/>
        <v>14</v>
      </c>
      <c r="J83" s="57">
        <f t="shared" si="22"/>
        <v>1.0358571428571426</v>
      </c>
      <c r="K83" s="57">
        <f t="shared" si="23"/>
        <v>0</v>
      </c>
      <c r="L83" s="58">
        <f t="shared" si="24"/>
        <v>1.04</v>
      </c>
    </row>
    <row r="84" spans="2:12" ht="16.5" customHeight="1" x14ac:dyDescent="0.25">
      <c r="B84" s="23">
        <v>10</v>
      </c>
      <c r="C84" s="10" t="s">
        <v>14</v>
      </c>
      <c r="D84" s="24">
        <f>GFA!K13</f>
        <v>31.27</v>
      </c>
      <c r="E84" s="24">
        <f>GFA!L13</f>
        <v>0</v>
      </c>
      <c r="F84" s="24">
        <f t="shared" si="20"/>
        <v>28.143000000000001</v>
      </c>
      <c r="G84" s="24">
        <f>'Acc. Dep'!U13</f>
        <v>21.939999999999994</v>
      </c>
      <c r="H84" s="24">
        <f t="shared" si="25"/>
        <v>6.2030000000000065</v>
      </c>
      <c r="I84" s="25">
        <f t="shared" si="26"/>
        <v>18</v>
      </c>
      <c r="J84" s="57">
        <f t="shared" si="22"/>
        <v>0.34461111111111148</v>
      </c>
      <c r="K84" s="57">
        <f t="shared" si="23"/>
        <v>0</v>
      </c>
      <c r="L84" s="58">
        <f t="shared" si="24"/>
        <v>0.34</v>
      </c>
    </row>
    <row r="85" spans="2:12" ht="16.5" customHeight="1" x14ac:dyDescent="0.25">
      <c r="B85" s="23">
        <v>11</v>
      </c>
      <c r="C85" s="10" t="s">
        <v>15</v>
      </c>
      <c r="D85" s="24">
        <f>GFA!K14</f>
        <v>29.74</v>
      </c>
      <c r="E85" s="24">
        <f>GFA!L14</f>
        <v>0</v>
      </c>
      <c r="F85" s="24">
        <f t="shared" si="20"/>
        <v>26.765999999999998</v>
      </c>
      <c r="G85" s="24">
        <f>'Acc. Dep'!U14</f>
        <v>12.850000000000003</v>
      </c>
      <c r="H85" s="24">
        <f>F85-G85</f>
        <v>13.915999999999995</v>
      </c>
      <c r="I85" s="25">
        <f t="shared" si="26"/>
        <v>24</v>
      </c>
      <c r="J85" s="57">
        <f t="shared" si="22"/>
        <v>0.57983333333333309</v>
      </c>
      <c r="K85" s="57">
        <f t="shared" si="23"/>
        <v>0</v>
      </c>
      <c r="L85" s="58">
        <f t="shared" si="24"/>
        <v>0.57999999999999996</v>
      </c>
    </row>
    <row r="86" spans="2:12" ht="16.5" customHeight="1" x14ac:dyDescent="0.25">
      <c r="B86" s="23">
        <v>12</v>
      </c>
      <c r="C86" s="10" t="s">
        <v>16</v>
      </c>
      <c r="D86" s="24">
        <f>GFA!K15</f>
        <v>692.53</v>
      </c>
      <c r="E86" s="24">
        <f>GFA!L15</f>
        <v>0</v>
      </c>
      <c r="F86" s="24">
        <f t="shared" si="20"/>
        <v>623.27700000000004</v>
      </c>
      <c r="G86" s="24">
        <f>'Acc. Dep'!U15</f>
        <v>344.82999999999993</v>
      </c>
      <c r="H86" s="24">
        <f>F86-G86</f>
        <v>278.44700000000012</v>
      </c>
      <c r="I86" s="25">
        <f t="shared" si="26"/>
        <v>25</v>
      </c>
      <c r="J86" s="57">
        <f t="shared" si="22"/>
        <v>11.137880000000004</v>
      </c>
      <c r="K86" s="57">
        <f t="shared" si="23"/>
        <v>0</v>
      </c>
      <c r="L86" s="58">
        <f t="shared" si="24"/>
        <v>11.14</v>
      </c>
    </row>
    <row r="87" spans="2:12" ht="16.5" customHeight="1" x14ac:dyDescent="0.25">
      <c r="B87" s="23">
        <v>13</v>
      </c>
      <c r="C87" s="10" t="s">
        <v>17</v>
      </c>
      <c r="D87" s="24">
        <f>GFA!K16</f>
        <v>1644.24</v>
      </c>
      <c r="E87" s="24">
        <f>GFA!L16</f>
        <v>12.6</v>
      </c>
      <c r="F87" s="24">
        <f t="shared" si="20"/>
        <v>1479.816</v>
      </c>
      <c r="G87" s="24">
        <f>'Acc. Dep'!U16</f>
        <v>665.59999999999991</v>
      </c>
      <c r="H87" s="24">
        <f t="shared" ref="H87:H88" si="27">F87-G87</f>
        <v>814.21600000000012</v>
      </c>
      <c r="I87" s="25">
        <f t="shared" si="26"/>
        <v>30</v>
      </c>
      <c r="J87" s="57">
        <f t="shared" si="22"/>
        <v>27.140533333333337</v>
      </c>
      <c r="K87" s="57">
        <f t="shared" si="23"/>
        <v>0.189</v>
      </c>
      <c r="L87" s="58">
        <f t="shared" si="24"/>
        <v>27.33</v>
      </c>
    </row>
    <row r="88" spans="2:12" ht="16.5" customHeight="1" x14ac:dyDescent="0.25">
      <c r="B88" s="23">
        <v>14</v>
      </c>
      <c r="C88" s="10" t="s">
        <v>18</v>
      </c>
      <c r="D88" s="24">
        <f>GFA!K17</f>
        <v>440.76000000000005</v>
      </c>
      <c r="E88" s="24">
        <f>GFA!L17</f>
        <v>0</v>
      </c>
      <c r="F88" s="24">
        <f t="shared" si="20"/>
        <v>396.68400000000003</v>
      </c>
      <c r="G88" s="24">
        <f>'Acc. Dep'!U17</f>
        <v>104.1</v>
      </c>
      <c r="H88" s="24">
        <f t="shared" si="27"/>
        <v>292.58400000000006</v>
      </c>
      <c r="I88" s="25">
        <f t="shared" si="26"/>
        <v>32</v>
      </c>
      <c r="J88" s="57">
        <f t="shared" si="22"/>
        <v>9.1432500000000019</v>
      </c>
      <c r="K88" s="57">
        <f t="shared" si="23"/>
        <v>0</v>
      </c>
      <c r="L88" s="58">
        <f t="shared" si="24"/>
        <v>9.14</v>
      </c>
    </row>
    <row r="89" spans="2:12" ht="16.5" customHeight="1" x14ac:dyDescent="0.25">
      <c r="C89" s="21" t="s">
        <v>19</v>
      </c>
      <c r="D89" s="28">
        <f>SUM(D74:D88)</f>
        <v>32072.529805873997</v>
      </c>
      <c r="E89" s="28">
        <f>SUM(E74:E88)</f>
        <v>1053.8599999999999</v>
      </c>
      <c r="F89" s="28">
        <f>SUM(F74:F88)</f>
        <v>28865.276825286601</v>
      </c>
      <c r="G89" s="28">
        <f>SUM(G74:G88)</f>
        <v>15731.780000000002</v>
      </c>
      <c r="H89" s="28">
        <f>SUM(H74:H88)</f>
        <v>13133.4968252866</v>
      </c>
      <c r="I89" s="73"/>
      <c r="J89" s="58">
        <f>SUM(J74:J88)</f>
        <v>775.35023954758469</v>
      </c>
      <c r="K89" s="58">
        <f t="shared" ref="K89:L89" si="28">SUM(K74:K88)</f>
        <v>27.443944537815128</v>
      </c>
      <c r="L89" s="58">
        <f t="shared" si="28"/>
        <v>802.79000000000008</v>
      </c>
    </row>
  </sheetData>
  <mergeCells count="1">
    <mergeCell ref="B2:L2"/>
  </mergeCells>
  <pageMargins left="0.70866141699999996" right="0.20866141699999999" top="0.49803149600000002" bottom="0.74803149606299202" header="0.31496062992126" footer="0.31496062992126"/>
  <pageSetup paperSize="9" scale="8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3:U20"/>
  <sheetViews>
    <sheetView topLeftCell="A3" workbookViewId="0">
      <selection activeCell="D13" sqref="D13"/>
    </sheetView>
  </sheetViews>
  <sheetFormatPr defaultColWidth="9.140625" defaultRowHeight="15" x14ac:dyDescent="0.2"/>
  <cols>
    <col min="1" max="1" width="9.140625" style="40"/>
    <col min="2" max="2" width="17.5703125" style="40" customWidth="1"/>
    <col min="3" max="3" width="11.5703125" style="40" hidden="1" customWidth="1"/>
    <col min="4" max="4" width="9.28515625" style="40" hidden="1" customWidth="1"/>
    <col min="5" max="5" width="9.28515625" style="40" customWidth="1"/>
    <col min="6" max="7" width="9.5703125" style="40" bestFit="1" customWidth="1"/>
    <col min="8" max="10" width="9.140625" style="40"/>
    <col min="11" max="11" width="27.28515625" style="40" hidden="1" customWidth="1"/>
    <col min="12" max="16" width="9.28515625" style="40" hidden="1" customWidth="1"/>
    <col min="17" max="22" width="0" style="40" hidden="1" customWidth="1"/>
    <col min="23" max="16384" width="9.140625" style="40"/>
  </cols>
  <sheetData>
    <row r="3" spans="1:21" ht="15.75" x14ac:dyDescent="0.25">
      <c r="B3" s="157" t="s">
        <v>49</v>
      </c>
      <c r="C3" s="158"/>
      <c r="D3" s="158"/>
      <c r="E3" s="158"/>
      <c r="F3" s="158"/>
      <c r="G3" s="159"/>
      <c r="H3" s="61"/>
      <c r="I3" s="61"/>
      <c r="K3" s="40" t="s">
        <v>287</v>
      </c>
    </row>
    <row r="4" spans="1:21" s="61" customFormat="1" ht="15.75" x14ac:dyDescent="0.25">
      <c r="B4" s="85" t="s">
        <v>35</v>
      </c>
      <c r="C4" s="86" t="s">
        <v>0</v>
      </c>
      <c r="D4" s="93" t="s">
        <v>136</v>
      </c>
      <c r="E4" s="93" t="s">
        <v>136</v>
      </c>
      <c r="F4" s="93" t="s">
        <v>137</v>
      </c>
      <c r="G4" s="93" t="s">
        <v>138</v>
      </c>
      <c r="K4" s="94" t="s">
        <v>140</v>
      </c>
      <c r="L4" s="94" t="s">
        <v>141</v>
      </c>
      <c r="M4" s="94"/>
      <c r="N4" s="94"/>
      <c r="O4" s="94"/>
      <c r="P4" s="94"/>
    </row>
    <row r="5" spans="1:21" ht="15.75" x14ac:dyDescent="0.2">
      <c r="B5" s="83" t="s">
        <v>38</v>
      </c>
      <c r="C5" s="88">
        <f>'Depn. Cal''n'!L6</f>
        <v>28.14</v>
      </c>
      <c r="D5" s="80">
        <f>'Depn. Cal''n'!L35</f>
        <v>29.19</v>
      </c>
      <c r="E5" s="80">
        <f>'Depn. Cal''n'!L35</f>
        <v>29.19</v>
      </c>
      <c r="F5" s="80">
        <f>'Depn. Cal''n'!L55</f>
        <v>30.5</v>
      </c>
      <c r="G5" s="80">
        <f>'Depn. Cal''n'!L74</f>
        <v>34.56</v>
      </c>
      <c r="H5" s="89"/>
      <c r="I5" s="89"/>
      <c r="K5" s="87" t="s">
        <v>285</v>
      </c>
      <c r="L5" s="87">
        <v>5</v>
      </c>
      <c r="M5" s="87">
        <v>1998</v>
      </c>
      <c r="N5" s="87">
        <v>25</v>
      </c>
      <c r="O5" s="87">
        <v>1998</v>
      </c>
      <c r="P5" s="87">
        <f>O5+N5</f>
        <v>2023</v>
      </c>
      <c r="Q5" s="40">
        <f>M5+N5</f>
        <v>2023</v>
      </c>
      <c r="R5" s="40">
        <v>2024</v>
      </c>
      <c r="S5" s="40">
        <f t="shared" ref="S5:S19" si="0">Q5-R5</f>
        <v>-1</v>
      </c>
      <c r="T5" s="40">
        <f>P5-R5</f>
        <v>-1</v>
      </c>
      <c r="U5" s="25">
        <v>5</v>
      </c>
    </row>
    <row r="6" spans="1:21" ht="15.75" x14ac:dyDescent="0.2">
      <c r="B6" s="83" t="s">
        <v>39</v>
      </c>
      <c r="C6" s="88">
        <f>'Depn. Cal''n'!L7</f>
        <v>124.92</v>
      </c>
      <c r="D6" s="80">
        <f>'Depn. Cal''n'!L36</f>
        <v>22.51</v>
      </c>
      <c r="E6" s="80">
        <f>'Depn. Cal''n'!L36</f>
        <v>22.51</v>
      </c>
      <c r="F6" s="80">
        <f>'Depn. Cal''n'!L56</f>
        <v>22.63</v>
      </c>
      <c r="G6" s="80">
        <f>'Depn. Cal''n'!L75</f>
        <v>23.86</v>
      </c>
      <c r="H6" s="89"/>
      <c r="I6" s="89"/>
      <c r="K6" s="87" t="s">
        <v>290</v>
      </c>
      <c r="L6" s="87">
        <v>12</v>
      </c>
      <c r="M6" s="87">
        <v>2012</v>
      </c>
      <c r="N6" s="87">
        <v>25</v>
      </c>
      <c r="O6" s="87">
        <v>2011</v>
      </c>
      <c r="P6" s="87">
        <f t="shared" ref="P6:P19" si="1">O6+N6</f>
        <v>2036</v>
      </c>
      <c r="Q6" s="40">
        <f t="shared" ref="Q6:Q19" si="2">M6+N6</f>
        <v>2037</v>
      </c>
      <c r="R6" s="40">
        <v>2024</v>
      </c>
      <c r="S6" s="40">
        <f t="shared" si="0"/>
        <v>13</v>
      </c>
      <c r="T6" s="40">
        <f t="shared" ref="T6:T18" si="3">P6-R6</f>
        <v>12</v>
      </c>
      <c r="U6" s="75">
        <v>12</v>
      </c>
    </row>
    <row r="7" spans="1:21" ht="15.75" x14ac:dyDescent="0.2">
      <c r="B7" s="83" t="s">
        <v>40</v>
      </c>
      <c r="C7" s="88">
        <f>'Depn. Cal''n'!L8</f>
        <v>258.69</v>
      </c>
      <c r="D7" s="80">
        <f>'Depn. Cal''n'!L37</f>
        <v>174.74</v>
      </c>
      <c r="E7" s="80">
        <f>'Depn. Cal''n'!L37</f>
        <v>174.74</v>
      </c>
      <c r="F7" s="80">
        <f>'Depn. Cal''n'!L57</f>
        <v>174.82</v>
      </c>
      <c r="G7" s="80">
        <f>'Depn. Cal''n'!L76</f>
        <v>174.95</v>
      </c>
      <c r="H7" s="89"/>
      <c r="I7" s="89"/>
      <c r="K7" s="87" t="s">
        <v>286</v>
      </c>
      <c r="L7" s="87">
        <v>19</v>
      </c>
      <c r="M7" s="87">
        <v>2019</v>
      </c>
      <c r="N7" s="87">
        <v>25</v>
      </c>
      <c r="O7" s="87">
        <v>2018</v>
      </c>
      <c r="P7" s="87">
        <f t="shared" si="1"/>
        <v>2043</v>
      </c>
      <c r="Q7" s="40">
        <f t="shared" si="2"/>
        <v>2044</v>
      </c>
      <c r="R7" s="40">
        <v>2024</v>
      </c>
      <c r="S7" s="40">
        <f t="shared" si="0"/>
        <v>20</v>
      </c>
      <c r="T7" s="40">
        <f t="shared" si="3"/>
        <v>19</v>
      </c>
      <c r="U7" s="75">
        <v>19</v>
      </c>
    </row>
    <row r="8" spans="1:21" ht="15.75" x14ac:dyDescent="0.2">
      <c r="B8" s="83" t="s">
        <v>7</v>
      </c>
      <c r="C8" s="88"/>
      <c r="D8" s="80"/>
      <c r="E8" s="80">
        <f>'Depn. Cal''n'!L38</f>
        <v>3.32</v>
      </c>
      <c r="F8" s="80"/>
      <c r="G8" s="80"/>
      <c r="H8" s="89"/>
      <c r="I8" s="89"/>
      <c r="K8" s="87"/>
      <c r="L8" s="87"/>
      <c r="M8" s="87"/>
      <c r="N8" s="87"/>
      <c r="O8" s="87"/>
      <c r="P8" s="87"/>
      <c r="U8" s="75"/>
    </row>
    <row r="9" spans="1:21" ht="15.75" x14ac:dyDescent="0.2">
      <c r="B9" s="83" t="s">
        <v>36</v>
      </c>
      <c r="C9" s="88">
        <f>'Depn. Cal''n'!L9</f>
        <v>17.489999999999998</v>
      </c>
      <c r="D9" s="80">
        <f>'Depn. Cal''n'!L39</f>
        <v>17.5</v>
      </c>
      <c r="E9" s="80">
        <f>'Depn. Cal''n'!L39</f>
        <v>17.5</v>
      </c>
      <c r="F9" s="80">
        <f>'Depn. Cal''n'!L58</f>
        <v>17.89</v>
      </c>
      <c r="G9" s="80">
        <f>'Depn. Cal''n'!L78</f>
        <v>18.309999999999999</v>
      </c>
      <c r="H9" s="89"/>
      <c r="I9" s="89"/>
      <c r="K9" s="87" t="s">
        <v>291</v>
      </c>
      <c r="L9" s="87">
        <v>11</v>
      </c>
      <c r="M9" s="87">
        <v>2011</v>
      </c>
      <c r="N9" s="87">
        <v>25</v>
      </c>
      <c r="O9" s="87">
        <v>2010</v>
      </c>
      <c r="P9" s="87">
        <f t="shared" si="1"/>
        <v>2035</v>
      </c>
      <c r="Q9" s="40">
        <f t="shared" si="2"/>
        <v>2036</v>
      </c>
      <c r="R9" s="40">
        <v>2024</v>
      </c>
      <c r="S9" s="40">
        <f t="shared" si="0"/>
        <v>12</v>
      </c>
      <c r="T9" s="40">
        <f t="shared" si="3"/>
        <v>11</v>
      </c>
      <c r="U9" s="71">
        <v>11</v>
      </c>
    </row>
    <row r="10" spans="1:21" ht="15.75" x14ac:dyDescent="0.2">
      <c r="B10" s="83" t="s">
        <v>37</v>
      </c>
      <c r="C10" s="88">
        <f>'Depn. Cal''n'!L10</f>
        <v>194.41</v>
      </c>
      <c r="D10" s="80">
        <f>'Depn. Cal''n'!L40</f>
        <v>113.12</v>
      </c>
      <c r="E10" s="80">
        <f>'Depn. Cal''n'!L40</f>
        <v>113.12</v>
      </c>
      <c r="F10" s="80">
        <f>'Depn. Cal''n'!L59</f>
        <v>113.37</v>
      </c>
      <c r="G10" s="80">
        <f>'Depn. Cal''n'!L79</f>
        <v>116.31</v>
      </c>
      <c r="H10" s="89"/>
      <c r="I10" s="89"/>
      <c r="K10" s="87" t="s">
        <v>288</v>
      </c>
      <c r="L10" s="87">
        <v>17</v>
      </c>
      <c r="M10" s="87">
        <v>2016</v>
      </c>
      <c r="N10" s="87">
        <v>25</v>
      </c>
      <c r="O10" s="87">
        <v>2016</v>
      </c>
      <c r="P10" s="87">
        <f t="shared" si="1"/>
        <v>2041</v>
      </c>
      <c r="Q10" s="40">
        <f t="shared" si="2"/>
        <v>2041</v>
      </c>
      <c r="R10" s="40">
        <v>2024</v>
      </c>
      <c r="S10" s="40">
        <f t="shared" si="0"/>
        <v>17</v>
      </c>
      <c r="T10" s="40">
        <f t="shared" si="3"/>
        <v>17</v>
      </c>
      <c r="U10" s="75">
        <v>17</v>
      </c>
    </row>
    <row r="11" spans="1:21" ht="15.75" x14ac:dyDescent="0.2">
      <c r="A11" s="90"/>
      <c r="B11" s="83" t="s">
        <v>10</v>
      </c>
      <c r="C11" s="88">
        <f>'Depn. Cal''n'!L11</f>
        <v>371.85</v>
      </c>
      <c r="D11" s="80">
        <f>'Depn. Cal''n'!L41</f>
        <v>247.18</v>
      </c>
      <c r="E11" s="80">
        <f>'Depn. Cal''n'!L41</f>
        <v>247.18</v>
      </c>
      <c r="F11" s="80">
        <f>'Depn. Cal''n'!L60</f>
        <v>247.98</v>
      </c>
      <c r="G11" s="80">
        <f>'Depn. Cal''n'!L80</f>
        <v>267.02999999999997</v>
      </c>
      <c r="H11" s="89"/>
      <c r="I11" s="89"/>
      <c r="K11" s="87" t="s">
        <v>289</v>
      </c>
      <c r="L11" s="87">
        <v>23</v>
      </c>
      <c r="M11" s="87">
        <v>2022</v>
      </c>
      <c r="N11" s="87">
        <v>25</v>
      </c>
      <c r="O11" s="87">
        <v>2022</v>
      </c>
      <c r="P11" s="87">
        <f t="shared" si="1"/>
        <v>2047</v>
      </c>
      <c r="Q11" s="40">
        <f t="shared" si="2"/>
        <v>2047</v>
      </c>
      <c r="R11" s="40">
        <v>2024</v>
      </c>
      <c r="S11" s="40">
        <f t="shared" si="0"/>
        <v>23</v>
      </c>
      <c r="T11" s="40">
        <f t="shared" si="3"/>
        <v>23</v>
      </c>
      <c r="U11" s="75">
        <v>23</v>
      </c>
    </row>
    <row r="12" spans="1:21" ht="15.75" x14ac:dyDescent="0.2">
      <c r="B12" s="83" t="s">
        <v>41</v>
      </c>
      <c r="C12" s="88">
        <f>'Depn. Cal''n'!L12</f>
        <v>93.51</v>
      </c>
      <c r="D12" s="80">
        <f>'Depn. Cal''n'!L42</f>
        <v>58.92</v>
      </c>
      <c r="E12" s="80">
        <f>'Depn. Cal''n'!L42</f>
        <v>58.92</v>
      </c>
      <c r="F12" s="80">
        <f>'Depn. Cal''n'!L61</f>
        <v>59.08</v>
      </c>
      <c r="G12" s="80">
        <f>'Depn. Cal''n'!L81</f>
        <v>59.07</v>
      </c>
      <c r="H12" s="89"/>
      <c r="I12" s="89"/>
      <c r="K12" s="87" t="s">
        <v>292</v>
      </c>
      <c r="L12" s="87"/>
      <c r="M12" s="87">
        <v>1993</v>
      </c>
      <c r="N12" s="87">
        <v>40</v>
      </c>
      <c r="O12" s="87">
        <v>1992</v>
      </c>
      <c r="P12" s="87">
        <f t="shared" si="1"/>
        <v>2032</v>
      </c>
      <c r="Q12" s="40">
        <f t="shared" si="2"/>
        <v>2033</v>
      </c>
      <c r="R12" s="40">
        <v>2024</v>
      </c>
      <c r="S12" s="40">
        <f t="shared" si="0"/>
        <v>9</v>
      </c>
      <c r="T12" s="40">
        <f t="shared" si="3"/>
        <v>8</v>
      </c>
      <c r="U12" s="75">
        <v>8</v>
      </c>
    </row>
    <row r="13" spans="1:21" ht="15.75" x14ac:dyDescent="0.2">
      <c r="B13" s="83" t="s">
        <v>42</v>
      </c>
      <c r="C13" s="88">
        <f>'Depn. Cal''n'!L13</f>
        <v>58.14</v>
      </c>
      <c r="D13" s="80">
        <f>'Depn. Cal''n'!L43</f>
        <v>58.72</v>
      </c>
      <c r="E13" s="80">
        <f>'Depn. Cal''n'!L43</f>
        <v>58.72</v>
      </c>
      <c r="F13" s="80">
        <f>'Depn. Cal''n'!L62</f>
        <v>59.13</v>
      </c>
      <c r="G13" s="80">
        <f>'Depn. Cal''n'!L82</f>
        <v>59.13</v>
      </c>
      <c r="H13" s="89"/>
      <c r="I13" s="89"/>
      <c r="K13" s="87" t="s">
        <v>293</v>
      </c>
      <c r="L13" s="87">
        <v>19</v>
      </c>
      <c r="M13" s="87">
        <v>2004</v>
      </c>
      <c r="N13" s="87">
        <v>40</v>
      </c>
      <c r="O13" s="87">
        <v>2003</v>
      </c>
      <c r="P13" s="87">
        <f t="shared" si="1"/>
        <v>2043</v>
      </c>
      <c r="Q13" s="40">
        <f t="shared" si="2"/>
        <v>2044</v>
      </c>
      <c r="R13" s="40">
        <v>2024</v>
      </c>
      <c r="S13" s="40">
        <f t="shared" si="0"/>
        <v>20</v>
      </c>
      <c r="T13" s="40">
        <f t="shared" si="3"/>
        <v>19</v>
      </c>
      <c r="U13" s="71">
        <v>19</v>
      </c>
    </row>
    <row r="14" spans="1:21" ht="15.75" x14ac:dyDescent="0.2">
      <c r="B14" s="83" t="s">
        <v>13</v>
      </c>
      <c r="C14" s="88">
        <f>'Depn. Cal''n'!L14</f>
        <v>1.03</v>
      </c>
      <c r="D14" s="80">
        <f>'Depn. Cal''n'!L44</f>
        <v>1.04</v>
      </c>
      <c r="E14" s="80">
        <f>'Depn. Cal''n'!L44</f>
        <v>1.04</v>
      </c>
      <c r="F14" s="80">
        <f>'Depn. Cal''n'!L63</f>
        <v>1.04</v>
      </c>
      <c r="G14" s="80">
        <f>'Depn. Cal''n'!L83</f>
        <v>1.04</v>
      </c>
      <c r="H14" s="89"/>
      <c r="I14" s="89"/>
      <c r="K14" s="87" t="s">
        <v>294</v>
      </c>
      <c r="L14" s="87">
        <v>16</v>
      </c>
      <c r="M14" s="87">
        <v>2000</v>
      </c>
      <c r="N14" s="87">
        <v>40</v>
      </c>
      <c r="O14" s="87">
        <v>2000</v>
      </c>
      <c r="P14" s="87">
        <f t="shared" si="1"/>
        <v>2040</v>
      </c>
      <c r="Q14" s="40">
        <f t="shared" si="2"/>
        <v>2040</v>
      </c>
      <c r="R14" s="40">
        <v>2024</v>
      </c>
      <c r="S14" s="40">
        <f t="shared" si="0"/>
        <v>16</v>
      </c>
      <c r="T14" s="40">
        <f t="shared" si="3"/>
        <v>16</v>
      </c>
      <c r="U14" s="71">
        <v>16</v>
      </c>
    </row>
    <row r="15" spans="1:21" ht="15.75" x14ac:dyDescent="0.2">
      <c r="B15" s="83" t="s">
        <v>14</v>
      </c>
      <c r="C15" s="88">
        <f>'Depn. Cal''n'!L15</f>
        <v>0.34</v>
      </c>
      <c r="D15" s="80">
        <f>'Depn. Cal''n'!L45</f>
        <v>0.34</v>
      </c>
      <c r="E15" s="80">
        <f>'Depn. Cal''n'!L45</f>
        <v>0.34</v>
      </c>
      <c r="F15" s="80">
        <f>'Depn. Cal''n'!L64</f>
        <v>0.34</v>
      </c>
      <c r="G15" s="80">
        <f>'Depn. Cal''n'!L84</f>
        <v>0.34</v>
      </c>
      <c r="H15" s="89"/>
      <c r="I15" s="89"/>
      <c r="K15" s="87" t="s">
        <v>295</v>
      </c>
      <c r="L15" s="87">
        <v>20</v>
      </c>
      <c r="M15" s="87">
        <v>2004</v>
      </c>
      <c r="N15" s="87">
        <v>40</v>
      </c>
      <c r="O15" s="87">
        <v>2004</v>
      </c>
      <c r="P15" s="87">
        <f t="shared" si="1"/>
        <v>2044</v>
      </c>
      <c r="Q15" s="40">
        <f t="shared" si="2"/>
        <v>2044</v>
      </c>
      <c r="R15" s="40">
        <v>2024</v>
      </c>
      <c r="S15" s="40">
        <f t="shared" si="0"/>
        <v>20</v>
      </c>
      <c r="T15" s="40">
        <f t="shared" si="3"/>
        <v>20</v>
      </c>
      <c r="U15" s="71">
        <v>20</v>
      </c>
    </row>
    <row r="16" spans="1:21" ht="15.75" x14ac:dyDescent="0.2">
      <c r="B16" s="83" t="s">
        <v>15</v>
      </c>
      <c r="C16" s="88">
        <f>'Depn. Cal''n'!L16</f>
        <v>0.57999999999999996</v>
      </c>
      <c r="D16" s="80">
        <f>'Depn. Cal''n'!L46</f>
        <v>0.57999999999999996</v>
      </c>
      <c r="E16" s="80">
        <f>'Depn. Cal''n'!L46</f>
        <v>0.57999999999999996</v>
      </c>
      <c r="F16" s="80">
        <f>'Depn. Cal''n'!L65</f>
        <v>0.57999999999999996</v>
      </c>
      <c r="G16" s="80">
        <f>'Depn. Cal''n'!L85</f>
        <v>0.57999999999999996</v>
      </c>
      <c r="H16" s="89"/>
      <c r="I16" s="89"/>
      <c r="K16" s="87" t="s">
        <v>296</v>
      </c>
      <c r="L16" s="87">
        <v>26</v>
      </c>
      <c r="M16" s="87">
        <v>2011</v>
      </c>
      <c r="N16" s="87">
        <v>40</v>
      </c>
      <c r="O16" s="87">
        <v>2010</v>
      </c>
      <c r="P16" s="87">
        <f t="shared" si="1"/>
        <v>2050</v>
      </c>
      <c r="Q16" s="40">
        <f t="shared" si="2"/>
        <v>2051</v>
      </c>
      <c r="R16" s="40">
        <v>2024</v>
      </c>
      <c r="S16" s="40">
        <f t="shared" si="0"/>
        <v>27</v>
      </c>
      <c r="T16" s="40">
        <f t="shared" si="3"/>
        <v>26</v>
      </c>
      <c r="U16" s="71">
        <v>26</v>
      </c>
    </row>
    <row r="17" spans="2:21" ht="15.75" x14ac:dyDescent="0.2">
      <c r="B17" s="83" t="s">
        <v>43</v>
      </c>
      <c r="C17" s="88">
        <f>'Depn. Cal''n'!L17</f>
        <v>13.44</v>
      </c>
      <c r="D17" s="80">
        <f>'Depn. Cal''n'!L47</f>
        <v>11.14</v>
      </c>
      <c r="E17" s="80">
        <f>'Depn. Cal''n'!L47</f>
        <v>11.14</v>
      </c>
      <c r="F17" s="80">
        <f>'Depn. Cal''n'!L66</f>
        <v>11.14</v>
      </c>
      <c r="G17" s="80">
        <f>'Depn. Cal''n'!L86</f>
        <v>11.14</v>
      </c>
      <c r="H17" s="89"/>
      <c r="I17" s="89"/>
      <c r="K17" s="87" t="s">
        <v>297</v>
      </c>
      <c r="L17" s="87">
        <v>25</v>
      </c>
      <c r="M17" s="87">
        <v>2012</v>
      </c>
      <c r="N17" s="87">
        <v>40</v>
      </c>
      <c r="O17" s="87">
        <v>2011</v>
      </c>
      <c r="P17" s="87">
        <f t="shared" si="1"/>
        <v>2051</v>
      </c>
      <c r="Q17" s="40">
        <f t="shared" si="2"/>
        <v>2052</v>
      </c>
      <c r="R17" s="40">
        <v>2024</v>
      </c>
      <c r="S17" s="40">
        <f t="shared" si="0"/>
        <v>28</v>
      </c>
      <c r="T17" s="40">
        <f t="shared" si="3"/>
        <v>27</v>
      </c>
      <c r="U17" s="75">
        <v>27</v>
      </c>
    </row>
    <row r="18" spans="2:21" ht="15.75" x14ac:dyDescent="0.2">
      <c r="B18" s="83" t="s">
        <v>44</v>
      </c>
      <c r="C18" s="88">
        <f>'Depn. Cal''n'!L18</f>
        <v>72.5</v>
      </c>
      <c r="D18" s="80">
        <f>'Depn. Cal''n'!L48</f>
        <v>27.02</v>
      </c>
      <c r="E18" s="80">
        <f>'Depn. Cal''n'!L48</f>
        <v>27.02</v>
      </c>
      <c r="F18" s="80">
        <f>'Depn. Cal''n'!L67</f>
        <v>27.14</v>
      </c>
      <c r="G18" s="80">
        <f>'Depn. Cal''n'!L87</f>
        <v>27.33</v>
      </c>
      <c r="H18" s="89"/>
      <c r="I18" s="89"/>
      <c r="K18" s="87" t="s">
        <v>298</v>
      </c>
      <c r="L18" s="87"/>
      <c r="M18" s="87">
        <v>2017</v>
      </c>
      <c r="N18" s="87">
        <v>40</v>
      </c>
      <c r="O18" s="87">
        <v>2016</v>
      </c>
      <c r="P18" s="87">
        <f t="shared" si="1"/>
        <v>2056</v>
      </c>
      <c r="Q18" s="40">
        <f t="shared" si="2"/>
        <v>2057</v>
      </c>
      <c r="R18" s="40">
        <v>2024</v>
      </c>
      <c r="S18" s="40">
        <f t="shared" si="0"/>
        <v>33</v>
      </c>
      <c r="T18" s="40">
        <f t="shared" si="3"/>
        <v>32</v>
      </c>
      <c r="U18" s="76">
        <v>32</v>
      </c>
    </row>
    <row r="19" spans="2:21" ht="15.75" x14ac:dyDescent="0.2">
      <c r="B19" s="83" t="s">
        <v>45</v>
      </c>
      <c r="C19" s="88">
        <f>'Depn. Cal''n'!L19</f>
        <v>9.5399999999999991</v>
      </c>
      <c r="D19" s="80">
        <f>'Depn. Cal''n'!L49</f>
        <v>9.14</v>
      </c>
      <c r="E19" s="80">
        <f>'Depn. Cal''n'!L49</f>
        <v>9.14</v>
      </c>
      <c r="F19" s="80">
        <f>'Depn. Cal''n'!L68</f>
        <v>9.14</v>
      </c>
      <c r="G19" s="80">
        <f>'Depn. Cal''n'!L88</f>
        <v>9.14</v>
      </c>
      <c r="H19" s="89"/>
      <c r="I19" s="89"/>
      <c r="K19" s="87" t="s">
        <v>299</v>
      </c>
      <c r="L19" s="87">
        <v>32</v>
      </c>
      <c r="M19" s="87">
        <v>2019</v>
      </c>
      <c r="N19" s="87">
        <v>40</v>
      </c>
      <c r="O19" s="87">
        <v>2018</v>
      </c>
      <c r="P19" s="87">
        <f t="shared" si="1"/>
        <v>2058</v>
      </c>
      <c r="Q19" s="40">
        <f t="shared" si="2"/>
        <v>2059</v>
      </c>
      <c r="R19" s="40">
        <v>2024</v>
      </c>
      <c r="S19" s="40">
        <f t="shared" si="0"/>
        <v>35</v>
      </c>
      <c r="T19" s="40">
        <f>P19-R19</f>
        <v>34</v>
      </c>
      <c r="U19" s="75">
        <v>34</v>
      </c>
    </row>
    <row r="20" spans="2:21" ht="15.75" x14ac:dyDescent="0.25">
      <c r="B20" s="79" t="s">
        <v>19</v>
      </c>
      <c r="C20" s="91">
        <f>SUM(C5:C19)</f>
        <v>1244.58</v>
      </c>
      <c r="D20" s="91">
        <f t="shared" ref="D20:G20" si="4">SUM(D5:D19)</f>
        <v>771.14</v>
      </c>
      <c r="E20" s="91">
        <f>SUM(E5:E19)</f>
        <v>774.45999999999992</v>
      </c>
      <c r="F20" s="91">
        <f t="shared" si="4"/>
        <v>774.78</v>
      </c>
      <c r="G20" s="91">
        <f t="shared" si="4"/>
        <v>802.79000000000008</v>
      </c>
      <c r="H20" s="92"/>
      <c r="I20" s="92"/>
      <c r="K20" s="87"/>
      <c r="L20" s="87"/>
      <c r="M20" s="87"/>
      <c r="N20" s="87"/>
      <c r="O20" s="87"/>
      <c r="P20" s="87"/>
      <c r="U20" s="73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AA60"/>
  <sheetViews>
    <sheetView topLeftCell="E45" zoomScale="96" zoomScaleNormal="96" workbookViewId="0">
      <selection activeCell="S2" sqref="S2:Z60"/>
    </sheetView>
  </sheetViews>
  <sheetFormatPr defaultRowHeight="20.25" customHeight="1" x14ac:dyDescent="0.25"/>
  <cols>
    <col min="1" max="1" width="3.5703125" style="19" customWidth="1"/>
    <col min="2" max="2" width="9.28515625" style="19" bestFit="1" customWidth="1"/>
    <col min="3" max="3" width="18.5703125" style="19" bestFit="1" customWidth="1"/>
    <col min="4" max="4" width="13.42578125" style="19" customWidth="1"/>
    <col min="5" max="6" width="12" style="19" customWidth="1"/>
    <col min="7" max="7" width="12.140625" style="19" customWidth="1"/>
    <col min="8" max="8" width="13.42578125" style="19" customWidth="1"/>
    <col min="9" max="9" width="12.85546875" style="19" customWidth="1"/>
    <col min="10" max="10" width="13.5703125" style="19" customWidth="1"/>
    <col min="11" max="11" width="4" style="19" customWidth="1"/>
    <col min="12" max="12" width="15.42578125" style="19" hidden="1" customWidth="1"/>
    <col min="13" max="13" width="11.28515625" style="19" hidden="1" customWidth="1"/>
    <col min="14" max="14" width="12.28515625" style="19" hidden="1" customWidth="1"/>
    <col min="15" max="15" width="14" style="19" hidden="1" customWidth="1"/>
    <col min="16" max="16" width="10.140625" style="19" hidden="1" customWidth="1"/>
    <col min="17" max="17" width="11.28515625" style="19" hidden="1" customWidth="1"/>
    <col min="18" max="18" width="5.28515625" style="19" hidden="1" customWidth="1"/>
    <col min="19" max="19" width="11.28515625" style="19" customWidth="1"/>
    <col min="20" max="20" width="13.140625" style="19" customWidth="1"/>
    <col min="21" max="21" width="13.28515625" style="19" customWidth="1"/>
    <col min="22" max="22" width="12.5703125" style="19" customWidth="1"/>
    <col min="23" max="23" width="11" style="19" customWidth="1"/>
    <col min="24" max="24" width="12" style="19" customWidth="1"/>
    <col min="25" max="25" width="11.28515625" style="19" customWidth="1"/>
    <col min="26" max="26" width="10.140625" style="40" bestFit="1" customWidth="1"/>
    <col min="27" max="27" width="10.5703125" style="40" bestFit="1" customWidth="1"/>
    <col min="28" max="16384" width="9.140625" style="19"/>
  </cols>
  <sheetData>
    <row r="2" spans="2:27" ht="20.25" customHeight="1" x14ac:dyDescent="0.25">
      <c r="W2" s="19" t="s">
        <v>121</v>
      </c>
      <c r="Y2" s="95">
        <f>25.168%</f>
        <v>0.25168000000000001</v>
      </c>
      <c r="Z2" s="19"/>
      <c r="AA2" s="19"/>
    </row>
    <row r="3" spans="2:27" ht="20.25" customHeight="1" x14ac:dyDescent="0.25">
      <c r="C3" s="22" t="s">
        <v>136</v>
      </c>
      <c r="L3" s="469" t="s">
        <v>120</v>
      </c>
      <c r="M3" s="470"/>
      <c r="N3" s="470"/>
      <c r="O3" s="470"/>
      <c r="P3" s="470"/>
      <c r="Q3" s="471"/>
      <c r="S3" s="469" t="s">
        <v>153</v>
      </c>
      <c r="T3" s="470"/>
      <c r="U3" s="470"/>
      <c r="V3" s="470"/>
      <c r="W3" s="470"/>
      <c r="X3" s="470"/>
      <c r="Y3" s="471"/>
      <c r="Z3" s="19"/>
      <c r="AA3" s="19"/>
    </row>
    <row r="4" spans="2:27" ht="44.25" customHeight="1" x14ac:dyDescent="0.25">
      <c r="B4" s="8" t="s">
        <v>1</v>
      </c>
      <c r="C4" s="30" t="s">
        <v>2</v>
      </c>
      <c r="D4" s="9" t="s">
        <v>130</v>
      </c>
      <c r="E4" s="9" t="s">
        <v>148</v>
      </c>
      <c r="F4" s="9" t="s">
        <v>314</v>
      </c>
      <c r="G4" s="9" t="s">
        <v>149</v>
      </c>
      <c r="H4" s="9" t="s">
        <v>150</v>
      </c>
      <c r="I4" s="9" t="s">
        <v>151</v>
      </c>
      <c r="J4" s="9" t="s">
        <v>152</v>
      </c>
      <c r="L4" s="9" t="s">
        <v>84</v>
      </c>
      <c r="M4" s="9" t="s">
        <v>93</v>
      </c>
      <c r="N4" s="9" t="s">
        <v>118</v>
      </c>
      <c r="O4" s="9" t="s">
        <v>85</v>
      </c>
      <c r="P4" s="9" t="s">
        <v>86</v>
      </c>
      <c r="Q4" s="9" t="s">
        <v>119</v>
      </c>
      <c r="S4" s="9" t="s">
        <v>316</v>
      </c>
      <c r="T4" s="9" t="s">
        <v>91</v>
      </c>
      <c r="U4" s="9" t="s">
        <v>92</v>
      </c>
      <c r="V4" s="9" t="s">
        <v>87</v>
      </c>
      <c r="W4" s="9" t="s">
        <v>124</v>
      </c>
      <c r="X4" s="9" t="s">
        <v>277</v>
      </c>
      <c r="Y4" s="9" t="s">
        <v>88</v>
      </c>
      <c r="Z4" s="19"/>
      <c r="AA4" s="19"/>
    </row>
    <row r="5" spans="2:27" ht="20.25" customHeight="1" x14ac:dyDescent="0.25">
      <c r="B5" s="23">
        <v>1</v>
      </c>
      <c r="C5" s="10" t="s">
        <v>4</v>
      </c>
      <c r="D5" s="24">
        <f>GFA!G3</f>
        <v>2270.04</v>
      </c>
      <c r="E5" s="24">
        <f>GFA!H3</f>
        <v>11.55</v>
      </c>
      <c r="F5" s="24">
        <f>D5+E5</f>
        <v>2281.59</v>
      </c>
      <c r="G5" s="24">
        <f>'Acc. Dep'!Q3</f>
        <v>1902.2600000000002</v>
      </c>
      <c r="H5" s="24">
        <f>'Dep''n 23-27'!D5</f>
        <v>29.19</v>
      </c>
      <c r="I5" s="24">
        <f>D5-G5</f>
        <v>367.77999999999975</v>
      </c>
      <c r="J5" s="24">
        <f>D5+E5-G5-H5</f>
        <v>350.13999999999993</v>
      </c>
      <c r="L5" s="24">
        <f>IF(D5*0.7-G5&lt;0,0,D5*0.7-G5)</f>
        <v>0</v>
      </c>
      <c r="M5" s="24">
        <f>E5*0.7</f>
        <v>8.0850000000000009</v>
      </c>
      <c r="N5" s="24">
        <f>IF((D5+E5)*0.7-(G5+H5)&lt;0,0,(D5+E5)*0.7-(G5+H5))</f>
        <v>0</v>
      </c>
      <c r="O5" s="24">
        <f>AVERAGE(L5,N5)</f>
        <v>0</v>
      </c>
      <c r="P5" s="96">
        <f>ROI!D26</f>
        <v>0</v>
      </c>
      <c r="Q5" s="24">
        <f>ROUND(O5*P5,2)</f>
        <v>0</v>
      </c>
      <c r="S5" s="24">
        <f>D5*0.3</f>
        <v>681.01199999999994</v>
      </c>
      <c r="T5" s="24">
        <f>E5*25%</f>
        <v>2.8875000000000002</v>
      </c>
      <c r="U5" s="24">
        <f>S5+T5</f>
        <v>683.89949999999999</v>
      </c>
      <c r="V5" s="97">
        <f>15.5%/(1-$Y$2)</f>
        <v>0.20713063929869574</v>
      </c>
      <c r="W5" s="37">
        <f>S5*V5</f>
        <v>141.05845093008338</v>
      </c>
      <c r="X5" s="37">
        <f t="shared" ref="X5:X19" si="0">AVERAGE(S5,U5)*V5-W5</f>
        <v>0.29904486048749845</v>
      </c>
      <c r="Y5" s="37">
        <f>ROUND((W5+X5),2)</f>
        <v>141.36000000000001</v>
      </c>
      <c r="Z5" s="19"/>
      <c r="AA5" s="19"/>
    </row>
    <row r="6" spans="2:27" ht="20.25" customHeight="1" x14ac:dyDescent="0.25">
      <c r="B6" s="23">
        <v>2</v>
      </c>
      <c r="C6" s="10" t="s">
        <v>5</v>
      </c>
      <c r="D6" s="24">
        <f>GFA!G4</f>
        <v>2473.23</v>
      </c>
      <c r="E6" s="24">
        <f>GFA!H4</f>
        <v>2.8</v>
      </c>
      <c r="F6" s="24">
        <f t="shared" ref="F6:F19" si="1">D6+E6</f>
        <v>2476.0300000000002</v>
      </c>
      <c r="G6" s="24">
        <f>'Acc. Dep'!Q4</f>
        <v>1957.0500000000002</v>
      </c>
      <c r="H6" s="24">
        <f>'Dep''n 23-27'!D6</f>
        <v>22.51</v>
      </c>
      <c r="I6" s="24">
        <f t="shared" ref="I6:I19" si="2">D6-G6</f>
        <v>516.17999999999984</v>
      </c>
      <c r="J6" s="24">
        <f t="shared" ref="J6:J19" si="3">D6+E6-G6-H6</f>
        <v>496.47</v>
      </c>
      <c r="L6" s="24">
        <f t="shared" ref="L6:L19" si="4">IF(D6*0.7-G6&lt;0,0,D6*0.7-G6)</f>
        <v>0</v>
      </c>
      <c r="M6" s="24">
        <f t="shared" ref="M6:M19" si="5">E6*0.7</f>
        <v>1.9599999999999997</v>
      </c>
      <c r="N6" s="24">
        <f>IF((D6+E6)*0.7-(G6+H6)&lt;0,0,(D6+E6)*0.7-(G6+H6))</f>
        <v>0</v>
      </c>
      <c r="O6" s="24">
        <f t="shared" ref="O6:O19" si="6">AVERAGE(L6,N6)</f>
        <v>0</v>
      </c>
      <c r="P6" s="96">
        <f>ROI!D27</f>
        <v>0</v>
      </c>
      <c r="Q6" s="24">
        <f t="shared" ref="Q6:Q19" si="7">ROUND(O6*P6,2)</f>
        <v>0</v>
      </c>
      <c r="S6" s="24">
        <f>D6*0.3</f>
        <v>741.96899999999994</v>
      </c>
      <c r="T6" s="24">
        <f t="shared" ref="T6:T19" si="8">E6*25%</f>
        <v>0.7</v>
      </c>
      <c r="U6" s="24">
        <f t="shared" ref="U6:U19" si="9">S6+T6</f>
        <v>742.66899999999998</v>
      </c>
      <c r="V6" s="97">
        <f t="shared" ref="V6:V11" si="10">15.5%/(1-$Y$2)</f>
        <v>0.20713063929869574</v>
      </c>
      <c r="W6" s="37">
        <f t="shared" ref="W6:W19" si="11">S6*V6</f>
        <v>153.68451330981398</v>
      </c>
      <c r="X6" s="37">
        <f t="shared" si="0"/>
        <v>7.2495723754542496E-2</v>
      </c>
      <c r="Y6" s="37">
        <f t="shared" ref="Y6:Y19" si="12">ROUND((W6+X6),2)</f>
        <v>153.76</v>
      </c>
      <c r="Z6" s="19"/>
      <c r="AA6" s="19"/>
    </row>
    <row r="7" spans="2:27" ht="20.25" customHeight="1" x14ac:dyDescent="0.25">
      <c r="B7" s="23">
        <v>3</v>
      </c>
      <c r="C7" s="10" t="s">
        <v>6</v>
      </c>
      <c r="D7" s="24">
        <f>GFA!G5</f>
        <v>5109.13</v>
      </c>
      <c r="E7" s="24">
        <f>GFA!H5</f>
        <v>3.44</v>
      </c>
      <c r="F7" s="24">
        <f t="shared" si="1"/>
        <v>5112.57</v>
      </c>
      <c r="G7" s="24">
        <f>'Acc. Dep'!Q5</f>
        <v>1279.77</v>
      </c>
      <c r="H7" s="24">
        <f>'Dep''n 23-27'!D7</f>
        <v>174.74</v>
      </c>
      <c r="I7" s="24">
        <f t="shared" si="2"/>
        <v>3829.36</v>
      </c>
      <c r="J7" s="24">
        <f t="shared" si="3"/>
        <v>3658.0599999999995</v>
      </c>
      <c r="L7" s="24">
        <f t="shared" si="4"/>
        <v>2296.6210000000001</v>
      </c>
      <c r="M7" s="24">
        <f t="shared" si="5"/>
        <v>2.4079999999999999</v>
      </c>
      <c r="N7" s="24">
        <f>IF((D7+E7)*0.7-(G7+H7)&lt;0,0,(D7+E7)*0.7-(G7+H7))</f>
        <v>2124.2889999999998</v>
      </c>
      <c r="O7" s="24">
        <f t="shared" si="6"/>
        <v>2210.4549999999999</v>
      </c>
      <c r="P7" s="96">
        <f>ROI!D28</f>
        <v>0</v>
      </c>
      <c r="Q7" s="24">
        <f t="shared" si="7"/>
        <v>0</v>
      </c>
      <c r="S7" s="24">
        <f t="shared" ref="S7:S19" si="13">D7*0.3</f>
        <v>1532.739</v>
      </c>
      <c r="T7" s="24">
        <f t="shared" si="8"/>
        <v>0.86</v>
      </c>
      <c r="U7" s="24">
        <f t="shared" si="9"/>
        <v>1533.5989999999999</v>
      </c>
      <c r="V7" s="97">
        <f t="shared" si="10"/>
        <v>0.20713063929869574</v>
      </c>
      <c r="W7" s="37">
        <f t="shared" si="11"/>
        <v>317.4772089480436</v>
      </c>
      <c r="X7" s="37">
        <f t="shared" si="0"/>
        <v>8.906617489844848E-2</v>
      </c>
      <c r="Y7" s="37">
        <f t="shared" si="12"/>
        <v>317.57</v>
      </c>
      <c r="Z7" s="19"/>
      <c r="AA7" s="19"/>
    </row>
    <row r="8" spans="2:27" ht="20.25" customHeight="1" x14ac:dyDescent="0.25">
      <c r="B8" s="23">
        <v>4</v>
      </c>
      <c r="C8" s="10" t="s">
        <v>7</v>
      </c>
      <c r="D8" s="24">
        <f>GFA!G6</f>
        <v>127.08000000000001</v>
      </c>
      <c r="E8" s="24">
        <f>GFA!H6</f>
        <v>0</v>
      </c>
      <c r="F8" s="24">
        <f t="shared" si="1"/>
        <v>127.08000000000001</v>
      </c>
      <c r="G8" s="24">
        <v>111.05</v>
      </c>
      <c r="H8" s="24">
        <f>'Depn. Cal''n'!L38</f>
        <v>3.32</v>
      </c>
      <c r="I8" s="24">
        <f t="shared" si="2"/>
        <v>16.030000000000015</v>
      </c>
      <c r="J8" s="24">
        <f t="shared" si="3"/>
        <v>12.710000000000015</v>
      </c>
      <c r="L8" s="24"/>
      <c r="M8" s="24"/>
      <c r="N8" s="24"/>
      <c r="O8" s="24"/>
      <c r="P8" s="96"/>
      <c r="Q8" s="24"/>
      <c r="S8" s="24">
        <f t="shared" si="13"/>
        <v>38.124000000000002</v>
      </c>
      <c r="T8" s="24">
        <f t="shared" si="8"/>
        <v>0</v>
      </c>
      <c r="U8" s="24">
        <f t="shared" si="9"/>
        <v>38.124000000000002</v>
      </c>
      <c r="V8" s="97">
        <f t="shared" si="10"/>
        <v>0.20713063929869574</v>
      </c>
      <c r="W8" s="37">
        <f t="shared" si="11"/>
        <v>7.896648492623477</v>
      </c>
      <c r="X8" s="37">
        <f t="shared" si="0"/>
        <v>0</v>
      </c>
      <c r="Y8" s="37">
        <f t="shared" si="12"/>
        <v>7.9</v>
      </c>
      <c r="Z8" s="19">
        <f>ROUND(Y8*64/365,2)</f>
        <v>1.39</v>
      </c>
      <c r="AA8" s="19"/>
    </row>
    <row r="9" spans="2:27" ht="20.25" customHeight="1" x14ac:dyDescent="0.25">
      <c r="B9" s="23">
        <v>4</v>
      </c>
      <c r="C9" s="10" t="s">
        <v>8</v>
      </c>
      <c r="D9" s="24">
        <f>GFA!G7</f>
        <v>2548.9699999999998</v>
      </c>
      <c r="E9" s="24">
        <f>GFA!H7</f>
        <v>0.26</v>
      </c>
      <c r="F9" s="24">
        <f t="shared" si="1"/>
        <v>2549.23</v>
      </c>
      <c r="G9" s="24">
        <f>'Acc. Dep'!Q7</f>
        <v>2101.66</v>
      </c>
      <c r="H9" s="24">
        <f>'Dep''n 23-27'!D9</f>
        <v>17.5</v>
      </c>
      <c r="I9" s="24">
        <f t="shared" si="2"/>
        <v>447.30999999999995</v>
      </c>
      <c r="J9" s="24">
        <f t="shared" si="3"/>
        <v>430.07000000000016</v>
      </c>
      <c r="L9" s="24">
        <f t="shared" si="4"/>
        <v>0</v>
      </c>
      <c r="M9" s="24">
        <f t="shared" si="5"/>
        <v>0.182</v>
      </c>
      <c r="N9" s="24">
        <f t="shared" ref="N9:N19" si="14">IF((D9+E9)*0.7-(G9+H9)&lt;0,0,(D9+E9)*0.7-(G9+H9))</f>
        <v>0</v>
      </c>
      <c r="O9" s="24">
        <f t="shared" si="6"/>
        <v>0</v>
      </c>
      <c r="P9" s="96">
        <f>ROI!D30</f>
        <v>0</v>
      </c>
      <c r="Q9" s="24">
        <f t="shared" si="7"/>
        <v>0</v>
      </c>
      <c r="S9" s="24">
        <f t="shared" si="13"/>
        <v>764.69099999999992</v>
      </c>
      <c r="T9" s="24">
        <f t="shared" si="8"/>
        <v>6.5000000000000002E-2</v>
      </c>
      <c r="U9" s="24">
        <f t="shared" si="9"/>
        <v>764.75599999999997</v>
      </c>
      <c r="V9" s="97">
        <f t="shared" si="10"/>
        <v>0.20713063929869574</v>
      </c>
      <c r="W9" s="37">
        <f t="shared" si="11"/>
        <v>158.39093569595892</v>
      </c>
      <c r="X9" s="37">
        <f t="shared" si="0"/>
        <v>6.731745777216247E-3</v>
      </c>
      <c r="Y9" s="37">
        <f t="shared" si="12"/>
        <v>158.4</v>
      </c>
      <c r="Z9" s="19"/>
      <c r="AA9" s="19"/>
    </row>
    <row r="10" spans="2:27" ht="20.25" customHeight="1" x14ac:dyDescent="0.25">
      <c r="B10" s="23">
        <v>5</v>
      </c>
      <c r="C10" s="10" t="s">
        <v>9</v>
      </c>
      <c r="D10" s="24">
        <f>GFA!G8</f>
        <v>3769.46</v>
      </c>
      <c r="E10" s="24">
        <f>GFA!H8</f>
        <v>3.6098058740000001</v>
      </c>
      <c r="F10" s="24">
        <f t="shared" si="1"/>
        <v>3773.0698058739999</v>
      </c>
      <c r="G10" s="24">
        <f>'Acc. Dep'!Q8</f>
        <v>1471.11</v>
      </c>
      <c r="H10" s="24">
        <f>'Dep''n 23-27'!D10</f>
        <v>113.12</v>
      </c>
      <c r="I10" s="24">
        <f t="shared" si="2"/>
        <v>2298.3500000000004</v>
      </c>
      <c r="J10" s="24">
        <f t="shared" si="3"/>
        <v>2188.8398058740004</v>
      </c>
      <c r="L10" s="24">
        <f t="shared" si="4"/>
        <v>1167.5119999999999</v>
      </c>
      <c r="M10" s="24">
        <f t="shared" si="5"/>
        <v>2.5268641117999997</v>
      </c>
      <c r="N10" s="24">
        <f t="shared" si="14"/>
        <v>1056.9188641117998</v>
      </c>
      <c r="O10" s="24">
        <f t="shared" si="6"/>
        <v>1112.2154320558998</v>
      </c>
      <c r="P10" s="96">
        <f>ROI!D31</f>
        <v>0</v>
      </c>
      <c r="Q10" s="24">
        <f t="shared" si="7"/>
        <v>0</v>
      </c>
      <c r="S10" s="24">
        <f t="shared" si="13"/>
        <v>1130.838</v>
      </c>
      <c r="T10" s="24">
        <f t="shared" si="8"/>
        <v>0.90245146850000002</v>
      </c>
      <c r="U10" s="24">
        <f t="shared" si="9"/>
        <v>1131.7404514684999</v>
      </c>
      <c r="V10" s="97">
        <f t="shared" si="10"/>
        <v>0.20713063929869574</v>
      </c>
      <c r="W10" s="37">
        <f t="shared" si="11"/>
        <v>234.23119788325849</v>
      </c>
      <c r="X10" s="37">
        <f t="shared" si="0"/>
        <v>9.3462674803248547E-2</v>
      </c>
      <c r="Y10" s="37">
        <f t="shared" si="12"/>
        <v>234.32</v>
      </c>
      <c r="Z10" s="19"/>
      <c r="AA10" s="19"/>
    </row>
    <row r="11" spans="2:27" ht="20.25" customHeight="1" x14ac:dyDescent="0.25">
      <c r="B11" s="23">
        <v>6</v>
      </c>
      <c r="C11" s="10" t="s">
        <v>10</v>
      </c>
      <c r="D11" s="24">
        <f>GFA!G9</f>
        <v>7445.28</v>
      </c>
      <c r="E11" s="24">
        <f>GFA!H9</f>
        <v>95.06</v>
      </c>
      <c r="F11" s="24">
        <f t="shared" si="1"/>
        <v>7540.34</v>
      </c>
      <c r="G11" s="24">
        <f>'Acc. Dep'!Q9</f>
        <v>1129.92</v>
      </c>
      <c r="H11" s="24">
        <f>'Dep''n 23-27'!D11</f>
        <v>247.18</v>
      </c>
      <c r="I11" s="24">
        <f t="shared" si="2"/>
        <v>6315.36</v>
      </c>
      <c r="J11" s="24">
        <f t="shared" si="3"/>
        <v>6163.24</v>
      </c>
      <c r="L11" s="24">
        <f t="shared" si="4"/>
        <v>4081.7759999999998</v>
      </c>
      <c r="M11" s="24">
        <f t="shared" si="5"/>
        <v>66.542000000000002</v>
      </c>
      <c r="N11" s="24">
        <f t="shared" si="14"/>
        <v>3901.137999999999</v>
      </c>
      <c r="O11" s="24">
        <f t="shared" si="6"/>
        <v>3991.4569999999994</v>
      </c>
      <c r="P11" s="96">
        <f>ROI!D32</f>
        <v>0</v>
      </c>
      <c r="Q11" s="24">
        <f t="shared" si="7"/>
        <v>0</v>
      </c>
      <c r="S11" s="24">
        <f t="shared" si="13"/>
        <v>2233.5839999999998</v>
      </c>
      <c r="T11" s="24">
        <f t="shared" si="8"/>
        <v>23.765000000000001</v>
      </c>
      <c r="U11" s="24">
        <f t="shared" si="9"/>
        <v>2257.3489999999997</v>
      </c>
      <c r="V11" s="97">
        <f t="shared" si="10"/>
        <v>0.20713063929869574</v>
      </c>
      <c r="W11" s="37">
        <f t="shared" si="11"/>
        <v>462.64368184733797</v>
      </c>
      <c r="X11" s="37">
        <f t="shared" si="0"/>
        <v>2.4612298214667021</v>
      </c>
      <c r="Y11" s="37">
        <f t="shared" si="12"/>
        <v>465.1</v>
      </c>
      <c r="Z11" s="19"/>
      <c r="AA11" s="19"/>
    </row>
    <row r="12" spans="2:27" s="189" customFormat="1" ht="20.25" customHeight="1" x14ac:dyDescent="0.25">
      <c r="B12" s="182">
        <v>7</v>
      </c>
      <c r="C12" s="183" t="s">
        <v>11</v>
      </c>
      <c r="D12" s="184">
        <f>GFA!G10</f>
        <v>1923.46</v>
      </c>
      <c r="E12" s="184">
        <f>GFA!H10</f>
        <v>2.37</v>
      </c>
      <c r="F12" s="184">
        <f t="shared" si="1"/>
        <v>1925.83</v>
      </c>
      <c r="G12" s="184">
        <f>'Acc. Dep'!Q10</f>
        <v>1260.8</v>
      </c>
      <c r="H12" s="184">
        <f>'Dep''n 23-27'!D12</f>
        <v>58.92</v>
      </c>
      <c r="I12" s="184">
        <f t="shared" si="2"/>
        <v>662.66000000000008</v>
      </c>
      <c r="J12" s="184">
        <f t="shared" si="3"/>
        <v>606.11</v>
      </c>
      <c r="L12" s="184">
        <f t="shared" si="4"/>
        <v>85.622000000000071</v>
      </c>
      <c r="M12" s="184">
        <f t="shared" si="5"/>
        <v>1.659</v>
      </c>
      <c r="N12" s="184">
        <f t="shared" si="14"/>
        <v>28.360999999999876</v>
      </c>
      <c r="O12" s="184">
        <f t="shared" si="6"/>
        <v>56.991499999999974</v>
      </c>
      <c r="P12" s="190">
        <f>ROI!D33</f>
        <v>0</v>
      </c>
      <c r="Q12" s="184">
        <f t="shared" si="7"/>
        <v>0</v>
      </c>
      <c r="S12" s="184">
        <f t="shared" si="13"/>
        <v>577.03800000000001</v>
      </c>
      <c r="T12" s="184">
        <f t="shared" si="8"/>
        <v>0.59250000000000003</v>
      </c>
      <c r="U12" s="184">
        <f t="shared" si="9"/>
        <v>577.63049999999998</v>
      </c>
      <c r="V12" s="228">
        <f>16.5%/(1-Y2)</f>
        <v>0.22049390635022451</v>
      </c>
      <c r="W12" s="192">
        <f t="shared" si="11"/>
        <v>127.23336273252085</v>
      </c>
      <c r="X12" s="192">
        <f t="shared" si="0"/>
        <v>6.5321319756250773E-2</v>
      </c>
      <c r="Y12" s="192">
        <f t="shared" si="12"/>
        <v>127.3</v>
      </c>
    </row>
    <row r="13" spans="2:27" ht="20.25" customHeight="1" x14ac:dyDescent="0.25">
      <c r="B13" s="23">
        <v>8</v>
      </c>
      <c r="C13" s="10" t="s">
        <v>12</v>
      </c>
      <c r="D13" s="24">
        <f>GFA!G11</f>
        <v>3384.21</v>
      </c>
      <c r="E13" s="24">
        <f>GFA!H11</f>
        <v>16.220000000000002</v>
      </c>
      <c r="F13" s="24">
        <f t="shared" si="1"/>
        <v>3400.43</v>
      </c>
      <c r="G13" s="24">
        <f>'Acc. Dep'!Q11</f>
        <v>1937.3300000000006</v>
      </c>
      <c r="H13" s="24">
        <f>'Dep''n 23-27'!D13</f>
        <v>58.72</v>
      </c>
      <c r="I13" s="24">
        <f t="shared" si="2"/>
        <v>1446.8799999999994</v>
      </c>
      <c r="J13" s="24">
        <f t="shared" si="3"/>
        <v>1404.3799999999992</v>
      </c>
      <c r="L13" s="24">
        <f t="shared" si="4"/>
        <v>431.61699999999905</v>
      </c>
      <c r="M13" s="24">
        <f t="shared" si="5"/>
        <v>11.354000000000001</v>
      </c>
      <c r="N13" s="24">
        <f t="shared" si="14"/>
        <v>384.25099999999929</v>
      </c>
      <c r="O13" s="24">
        <f t="shared" si="6"/>
        <v>407.93399999999917</v>
      </c>
      <c r="P13" s="96">
        <f>ROI!D34</f>
        <v>0</v>
      </c>
      <c r="Q13" s="24">
        <f t="shared" si="7"/>
        <v>0</v>
      </c>
      <c r="S13" s="24">
        <f t="shared" si="13"/>
        <v>1015.2629999999999</v>
      </c>
      <c r="T13" s="24">
        <f t="shared" si="8"/>
        <v>4.0550000000000006</v>
      </c>
      <c r="U13" s="24">
        <f t="shared" si="9"/>
        <v>1019.3179999999999</v>
      </c>
      <c r="V13" s="229">
        <f>16.5%/(1-Y2)</f>
        <v>0.22049390635022451</v>
      </c>
      <c r="W13" s="37">
        <f t="shared" si="11"/>
        <v>223.85930484284796</v>
      </c>
      <c r="X13" s="37">
        <f t="shared" si="0"/>
        <v>0.4470513951250723</v>
      </c>
      <c r="Y13" s="37">
        <f t="shared" si="12"/>
        <v>224.31</v>
      </c>
      <c r="Z13" s="19"/>
      <c r="AA13" s="19"/>
    </row>
    <row r="14" spans="2:27" ht="20.25" customHeight="1" x14ac:dyDescent="0.25">
      <c r="B14" s="23">
        <v>9</v>
      </c>
      <c r="C14" s="10" t="s">
        <v>13</v>
      </c>
      <c r="D14" s="24">
        <f>GFA!G12</f>
        <v>121.94</v>
      </c>
      <c r="E14" s="24">
        <f>GFA!H12</f>
        <v>0.04</v>
      </c>
      <c r="F14" s="24">
        <f t="shared" si="1"/>
        <v>121.98</v>
      </c>
      <c r="G14" s="24">
        <f>'Acc. Dep'!Q12</f>
        <v>93.2</v>
      </c>
      <c r="H14" s="24">
        <f>'Dep''n 23-27'!D14</f>
        <v>1.04</v>
      </c>
      <c r="I14" s="24">
        <f t="shared" si="2"/>
        <v>28.739999999999995</v>
      </c>
      <c r="J14" s="24">
        <f t="shared" si="3"/>
        <v>27.740000000000002</v>
      </c>
      <c r="L14" s="24">
        <f t="shared" si="4"/>
        <v>0</v>
      </c>
      <c r="M14" s="24">
        <f t="shared" si="5"/>
        <v>2.7999999999999997E-2</v>
      </c>
      <c r="N14" s="24">
        <f t="shared" si="14"/>
        <v>0</v>
      </c>
      <c r="O14" s="24">
        <f t="shared" si="6"/>
        <v>0</v>
      </c>
      <c r="P14" s="96">
        <f>ROI!D35</f>
        <v>0</v>
      </c>
      <c r="Q14" s="24">
        <f t="shared" si="7"/>
        <v>0</v>
      </c>
      <c r="S14" s="24">
        <f t="shared" si="13"/>
        <v>36.582000000000001</v>
      </c>
      <c r="T14" s="24">
        <f t="shared" si="8"/>
        <v>0.01</v>
      </c>
      <c r="U14" s="24">
        <f t="shared" si="9"/>
        <v>36.591999999999999</v>
      </c>
      <c r="V14" s="229">
        <f>16.5%/(1-Y2)</f>
        <v>0.22049390635022451</v>
      </c>
      <c r="W14" s="37">
        <f t="shared" si="11"/>
        <v>8.0661080821039128</v>
      </c>
      <c r="X14" s="37">
        <f t="shared" si="0"/>
        <v>1.1024695317516375E-3</v>
      </c>
      <c r="Y14" s="37">
        <f t="shared" si="12"/>
        <v>8.07</v>
      </c>
      <c r="Z14" s="19"/>
      <c r="AA14" s="19"/>
    </row>
    <row r="15" spans="2:27" ht="20.25" customHeight="1" x14ac:dyDescent="0.25">
      <c r="B15" s="23">
        <v>10</v>
      </c>
      <c r="C15" s="10" t="s">
        <v>14</v>
      </c>
      <c r="D15" s="24">
        <f>GFA!G13</f>
        <v>31.27</v>
      </c>
      <c r="E15" s="24">
        <f>GFA!H13</f>
        <v>0</v>
      </c>
      <c r="F15" s="24">
        <f t="shared" si="1"/>
        <v>31.27</v>
      </c>
      <c r="G15" s="24">
        <f>'Acc. Dep'!Q13</f>
        <v>21.259999999999994</v>
      </c>
      <c r="H15" s="24">
        <f>'Dep''n 23-27'!D15</f>
        <v>0.34</v>
      </c>
      <c r="I15" s="24">
        <f t="shared" si="2"/>
        <v>10.010000000000005</v>
      </c>
      <c r="J15" s="24">
        <f t="shared" si="3"/>
        <v>9.6700000000000053</v>
      </c>
      <c r="L15" s="24">
        <f t="shared" si="4"/>
        <v>0.62900000000000489</v>
      </c>
      <c r="M15" s="24">
        <f t="shared" si="5"/>
        <v>0</v>
      </c>
      <c r="N15" s="24">
        <f t="shared" si="14"/>
        <v>0.28900000000000503</v>
      </c>
      <c r="O15" s="24">
        <f t="shared" si="6"/>
        <v>0.45900000000000496</v>
      </c>
      <c r="P15" s="96">
        <f>ROI!D36</f>
        <v>0</v>
      </c>
      <c r="Q15" s="24">
        <f t="shared" si="7"/>
        <v>0</v>
      </c>
      <c r="S15" s="24">
        <f t="shared" si="13"/>
        <v>9.3810000000000002</v>
      </c>
      <c r="T15" s="24">
        <f t="shared" si="8"/>
        <v>0</v>
      </c>
      <c r="U15" s="24">
        <f t="shared" si="9"/>
        <v>9.3810000000000002</v>
      </c>
      <c r="V15" s="97">
        <f>15.5%/(1-Y2)</f>
        <v>0.20713063929869574</v>
      </c>
      <c r="W15" s="37">
        <f t="shared" si="11"/>
        <v>1.9430925272610649</v>
      </c>
      <c r="X15" s="37">
        <f t="shared" si="0"/>
        <v>0</v>
      </c>
      <c r="Y15" s="37">
        <f t="shared" si="12"/>
        <v>1.94</v>
      </c>
      <c r="Z15" s="19"/>
      <c r="AA15" s="19"/>
    </row>
    <row r="16" spans="2:27" ht="20.25" customHeight="1" x14ac:dyDescent="0.25">
      <c r="B16" s="23">
        <v>11</v>
      </c>
      <c r="C16" s="10" t="s">
        <v>15</v>
      </c>
      <c r="D16" s="24">
        <f>GFA!G14</f>
        <v>29.74</v>
      </c>
      <c r="E16" s="24">
        <f>GFA!H14</f>
        <v>0</v>
      </c>
      <c r="F16" s="24">
        <f t="shared" si="1"/>
        <v>29.74</v>
      </c>
      <c r="G16" s="24">
        <f>'Acc. Dep'!Q14</f>
        <v>11.690000000000003</v>
      </c>
      <c r="H16" s="24">
        <f>'Dep''n 23-27'!D16</f>
        <v>0.57999999999999996</v>
      </c>
      <c r="I16" s="24">
        <f t="shared" si="2"/>
        <v>18.049999999999997</v>
      </c>
      <c r="J16" s="24">
        <f t="shared" si="3"/>
        <v>17.47</v>
      </c>
      <c r="L16" s="24">
        <f t="shared" si="4"/>
        <v>9.1279999999999948</v>
      </c>
      <c r="M16" s="24">
        <f t="shared" si="5"/>
        <v>0</v>
      </c>
      <c r="N16" s="24">
        <f t="shared" si="14"/>
        <v>8.5479999999999947</v>
      </c>
      <c r="O16" s="24">
        <f t="shared" si="6"/>
        <v>8.8379999999999939</v>
      </c>
      <c r="P16" s="96">
        <f>ROI!D37</f>
        <v>0</v>
      </c>
      <c r="Q16" s="24">
        <f t="shared" si="7"/>
        <v>0</v>
      </c>
      <c r="S16" s="24">
        <f t="shared" si="13"/>
        <v>8.9219999999999988</v>
      </c>
      <c r="T16" s="24">
        <f t="shared" si="8"/>
        <v>0</v>
      </c>
      <c r="U16" s="24">
        <f t="shared" si="9"/>
        <v>8.9219999999999988</v>
      </c>
      <c r="V16" s="229">
        <f>16.5%/(1-Y2)</f>
        <v>0.22049390635022451</v>
      </c>
      <c r="W16" s="37">
        <f t="shared" si="11"/>
        <v>1.9672466324567028</v>
      </c>
      <c r="X16" s="37">
        <f t="shared" si="0"/>
        <v>0</v>
      </c>
      <c r="Y16" s="37">
        <f t="shared" si="12"/>
        <v>1.97</v>
      </c>
      <c r="Z16" s="19"/>
      <c r="AA16" s="19"/>
    </row>
    <row r="17" spans="2:27" ht="20.25" customHeight="1" x14ac:dyDescent="0.25">
      <c r="B17" s="23">
        <v>12</v>
      </c>
      <c r="C17" s="10" t="s">
        <v>16</v>
      </c>
      <c r="D17" s="24">
        <f>GFA!G15</f>
        <v>692.5</v>
      </c>
      <c r="E17" s="24">
        <f>GFA!H15</f>
        <v>0.03</v>
      </c>
      <c r="F17" s="24">
        <f t="shared" si="1"/>
        <v>692.53</v>
      </c>
      <c r="G17" s="24">
        <f>'Acc. Dep'!Q15</f>
        <v>322.54999999999995</v>
      </c>
      <c r="H17" s="24">
        <f>'Dep''n 23-27'!D17</f>
        <v>11.14</v>
      </c>
      <c r="I17" s="24">
        <f t="shared" si="2"/>
        <v>369.95000000000005</v>
      </c>
      <c r="J17" s="24">
        <f t="shared" si="3"/>
        <v>358.84000000000003</v>
      </c>
      <c r="L17" s="24">
        <f t="shared" si="4"/>
        <v>162.19999999999999</v>
      </c>
      <c r="M17" s="24">
        <f t="shared" si="5"/>
        <v>2.0999999999999998E-2</v>
      </c>
      <c r="N17" s="24">
        <f t="shared" si="14"/>
        <v>151.08100000000002</v>
      </c>
      <c r="O17" s="24">
        <f t="shared" si="6"/>
        <v>156.6405</v>
      </c>
      <c r="P17" s="96">
        <f>ROI!D38</f>
        <v>0</v>
      </c>
      <c r="Q17" s="24">
        <f t="shared" si="7"/>
        <v>0</v>
      </c>
      <c r="S17" s="24">
        <f t="shared" si="13"/>
        <v>207.75</v>
      </c>
      <c r="T17" s="24">
        <f t="shared" si="8"/>
        <v>7.4999999999999997E-3</v>
      </c>
      <c r="U17" s="24">
        <f t="shared" si="9"/>
        <v>207.75749999999999</v>
      </c>
      <c r="V17" s="97">
        <f>15.5%/(1-Y2)</f>
        <v>0.20713063929869574</v>
      </c>
      <c r="W17" s="37">
        <f t="shared" si="11"/>
        <v>43.031390314304041</v>
      </c>
      <c r="X17" s="37">
        <f t="shared" si="0"/>
        <v>7.7673989736837257E-4</v>
      </c>
      <c r="Y17" s="37">
        <f t="shared" si="12"/>
        <v>43.03</v>
      </c>
      <c r="Z17" s="19"/>
      <c r="AA17" s="19"/>
    </row>
    <row r="18" spans="2:27" ht="20.25" customHeight="1" x14ac:dyDescent="0.25">
      <c r="B18" s="23">
        <v>13</v>
      </c>
      <c r="C18" s="10" t="s">
        <v>17</v>
      </c>
      <c r="D18" s="24">
        <f>GFA!G16</f>
        <v>1635.81</v>
      </c>
      <c r="E18" s="24">
        <f>GFA!H16</f>
        <v>8.43</v>
      </c>
      <c r="F18" s="24">
        <f t="shared" si="1"/>
        <v>1644.24</v>
      </c>
      <c r="G18" s="24">
        <f>'Acc. Dep'!Q16</f>
        <v>611.43999999999994</v>
      </c>
      <c r="H18" s="24">
        <f>'Dep''n 23-27'!D18</f>
        <v>27.02</v>
      </c>
      <c r="I18" s="24">
        <f t="shared" si="2"/>
        <v>1024.3699999999999</v>
      </c>
      <c r="J18" s="24">
        <f t="shared" si="3"/>
        <v>1005.7800000000002</v>
      </c>
      <c r="L18" s="24">
        <f t="shared" si="4"/>
        <v>533.62699999999984</v>
      </c>
      <c r="M18" s="24">
        <f t="shared" si="5"/>
        <v>5.9009999999999998</v>
      </c>
      <c r="N18" s="24">
        <f t="shared" si="14"/>
        <v>512.50799999999992</v>
      </c>
      <c r="O18" s="24">
        <f t="shared" si="6"/>
        <v>523.06749999999988</v>
      </c>
      <c r="P18" s="96">
        <f>ROI!D39</f>
        <v>0</v>
      </c>
      <c r="Q18" s="24">
        <f t="shared" si="7"/>
        <v>0</v>
      </c>
      <c r="S18" s="24">
        <f t="shared" si="13"/>
        <v>490.74299999999994</v>
      </c>
      <c r="T18" s="24">
        <f t="shared" si="8"/>
        <v>2.1074999999999999</v>
      </c>
      <c r="U18" s="24">
        <f t="shared" si="9"/>
        <v>492.85049999999995</v>
      </c>
      <c r="V18" s="97">
        <f>15.5%/(1-Y2)</f>
        <v>0.20713063929869574</v>
      </c>
      <c r="W18" s="37">
        <f t="shared" si="11"/>
        <v>101.64791132135983</v>
      </c>
      <c r="X18" s="37">
        <f t="shared" si="0"/>
        <v>0.21826391116101718</v>
      </c>
      <c r="Y18" s="37">
        <f t="shared" si="12"/>
        <v>101.87</v>
      </c>
      <c r="Z18" s="19"/>
      <c r="AA18" s="19"/>
    </row>
    <row r="19" spans="2:27" ht="20.25" customHeight="1" x14ac:dyDescent="0.25">
      <c r="B19" s="23">
        <v>14</v>
      </c>
      <c r="C19" s="10" t="s">
        <v>18</v>
      </c>
      <c r="D19" s="24">
        <f>GFA!G17</f>
        <v>440.76000000000005</v>
      </c>
      <c r="E19" s="24">
        <f>GFA!H17</f>
        <v>0</v>
      </c>
      <c r="F19" s="24">
        <f t="shared" si="1"/>
        <v>440.76000000000005</v>
      </c>
      <c r="G19" s="24">
        <f>'Acc. Dep'!Q17</f>
        <v>85.82</v>
      </c>
      <c r="H19" s="24">
        <f>'Dep''n 23-27'!D19</f>
        <v>9.14</v>
      </c>
      <c r="I19" s="24">
        <f t="shared" si="2"/>
        <v>354.94000000000005</v>
      </c>
      <c r="J19" s="24">
        <f t="shared" si="3"/>
        <v>345.80000000000007</v>
      </c>
      <c r="L19" s="24">
        <f t="shared" si="4"/>
        <v>222.71200000000005</v>
      </c>
      <c r="M19" s="24">
        <f t="shared" si="5"/>
        <v>0</v>
      </c>
      <c r="N19" s="24">
        <f t="shared" si="14"/>
        <v>213.57200000000006</v>
      </c>
      <c r="O19" s="24">
        <f t="shared" si="6"/>
        <v>218.14200000000005</v>
      </c>
      <c r="P19" s="96">
        <f>ROI!D40</f>
        <v>0</v>
      </c>
      <c r="Q19" s="24">
        <f t="shared" si="7"/>
        <v>0</v>
      </c>
      <c r="S19" s="24">
        <f t="shared" si="13"/>
        <v>132.22800000000001</v>
      </c>
      <c r="T19" s="24">
        <f t="shared" si="8"/>
        <v>0</v>
      </c>
      <c r="U19" s="24">
        <f t="shared" si="9"/>
        <v>132.22800000000001</v>
      </c>
      <c r="V19" s="229">
        <f>16.5%/(1-Y2)</f>
        <v>0.22049390635022451</v>
      </c>
      <c r="W19" s="37">
        <f t="shared" si="11"/>
        <v>29.155468248877487</v>
      </c>
      <c r="X19" s="37">
        <f t="shared" si="0"/>
        <v>0</v>
      </c>
      <c r="Y19" s="37">
        <f t="shared" si="12"/>
        <v>29.16</v>
      </c>
      <c r="Z19" s="19"/>
      <c r="AA19" s="19"/>
    </row>
    <row r="20" spans="2:27" ht="20.25" customHeight="1" x14ac:dyDescent="0.25">
      <c r="B20" s="21" t="s">
        <v>19</v>
      </c>
      <c r="C20" s="27"/>
      <c r="D20" s="28">
        <f t="shared" ref="D20:J20" si="15">SUM(D5:D19)</f>
        <v>32002.879999999997</v>
      </c>
      <c r="E20" s="28">
        <f t="shared" si="15"/>
        <v>143.80980587400001</v>
      </c>
      <c r="F20" s="28">
        <f t="shared" si="15"/>
        <v>32146.689805874001</v>
      </c>
      <c r="G20" s="28">
        <f t="shared" si="15"/>
        <v>14296.91</v>
      </c>
      <c r="H20" s="28">
        <f t="shared" si="15"/>
        <v>774.45999999999992</v>
      </c>
      <c r="I20" s="28">
        <f t="shared" si="15"/>
        <v>17705.969999999998</v>
      </c>
      <c r="J20" s="28">
        <f t="shared" si="15"/>
        <v>17075.319805873998</v>
      </c>
      <c r="L20" s="98">
        <f>SUM(L5:L19)</f>
        <v>8991.4439999999995</v>
      </c>
      <c r="M20" s="98">
        <f>SUM(M5:M19)</f>
        <v>100.66686411180001</v>
      </c>
      <c r="N20" s="98">
        <f>SUM(N5:N19)</f>
        <v>8380.9558641117965</v>
      </c>
      <c r="O20" s="99">
        <f>SUM(O5:O19)</f>
        <v>8686.1999320558971</v>
      </c>
      <c r="P20" s="96"/>
      <c r="Q20" s="99">
        <f>SUM(Q5:Q19)</f>
        <v>0</v>
      </c>
      <c r="S20" s="100">
        <f>SUM(S5:S19)</f>
        <v>9600.8639999999978</v>
      </c>
      <c r="T20" s="100">
        <f>SUM(T5:T19)</f>
        <v>35.952451468500001</v>
      </c>
      <c r="U20" s="100">
        <f>SUM(U5:U19)</f>
        <v>9636.8164514684995</v>
      </c>
      <c r="V20" s="101" t="s">
        <v>66</v>
      </c>
      <c r="W20" s="100">
        <f>SUM(W5:W19)</f>
        <v>2012.2865218088514</v>
      </c>
      <c r="X20" s="100">
        <f>SUM(X5:X19)</f>
        <v>3.7545468366591166</v>
      </c>
      <c r="Y20" s="100">
        <f>SUM(Y5:Y19)</f>
        <v>2016.0599999999997</v>
      </c>
      <c r="Z20" s="171">
        <f>Y20-Y8+Z8</f>
        <v>2009.5499999999997</v>
      </c>
      <c r="AA20" s="19"/>
    </row>
    <row r="21" spans="2:27" ht="20.25" customHeight="1" x14ac:dyDescent="0.25">
      <c r="D21" s="171"/>
    </row>
    <row r="23" spans="2:27" ht="20.25" customHeight="1" x14ac:dyDescent="0.25">
      <c r="W23" s="19" t="s">
        <v>121</v>
      </c>
      <c r="Y23" s="95">
        <f>25.168%</f>
        <v>0.25168000000000001</v>
      </c>
      <c r="Z23" s="19"/>
      <c r="AA23" s="19"/>
    </row>
    <row r="24" spans="2:27" ht="20.25" customHeight="1" x14ac:dyDescent="0.25">
      <c r="C24" s="22" t="s">
        <v>137</v>
      </c>
      <c r="L24" s="469" t="s">
        <v>120</v>
      </c>
      <c r="M24" s="470"/>
      <c r="N24" s="470"/>
      <c r="O24" s="470"/>
      <c r="P24" s="470"/>
      <c r="Q24" s="471"/>
      <c r="S24" s="469" t="s">
        <v>159</v>
      </c>
      <c r="T24" s="470"/>
      <c r="U24" s="470"/>
      <c r="V24" s="470"/>
      <c r="W24" s="470"/>
      <c r="X24" s="470"/>
      <c r="Y24" s="471"/>
      <c r="Z24" s="19"/>
      <c r="AA24" s="19"/>
    </row>
    <row r="25" spans="2:27" ht="28.5" customHeight="1" x14ac:dyDescent="0.25">
      <c r="B25" s="8" t="s">
        <v>1</v>
      </c>
      <c r="C25" s="30" t="s">
        <v>2</v>
      </c>
      <c r="D25" s="9" t="s">
        <v>131</v>
      </c>
      <c r="E25" s="9" t="s">
        <v>154</v>
      </c>
      <c r="F25" s="9" t="s">
        <v>143</v>
      </c>
      <c r="G25" s="9" t="s">
        <v>155</v>
      </c>
      <c r="H25" s="9" t="s">
        <v>156</v>
      </c>
      <c r="I25" s="9" t="s">
        <v>157</v>
      </c>
      <c r="J25" s="9" t="s">
        <v>158</v>
      </c>
      <c r="L25" s="9" t="s">
        <v>84</v>
      </c>
      <c r="M25" s="9" t="s">
        <v>93</v>
      </c>
      <c r="N25" s="9" t="s">
        <v>118</v>
      </c>
      <c r="O25" s="9" t="s">
        <v>85</v>
      </c>
      <c r="P25" s="9" t="s">
        <v>86</v>
      </c>
      <c r="Q25" s="9" t="s">
        <v>119</v>
      </c>
      <c r="S25" s="9" t="s">
        <v>278</v>
      </c>
      <c r="T25" s="9" t="s">
        <v>91</v>
      </c>
      <c r="U25" s="9" t="s">
        <v>92</v>
      </c>
      <c r="V25" s="9" t="s">
        <v>87</v>
      </c>
      <c r="W25" s="9" t="s">
        <v>124</v>
      </c>
      <c r="X25" s="9" t="s">
        <v>304</v>
      </c>
      <c r="Y25" s="9" t="s">
        <v>88</v>
      </c>
      <c r="Z25" s="19"/>
      <c r="AA25" s="19"/>
    </row>
    <row r="26" spans="2:27" ht="20.25" customHeight="1" x14ac:dyDescent="0.25">
      <c r="B26" s="23">
        <v>1</v>
      </c>
      <c r="C26" s="10" t="s">
        <v>4</v>
      </c>
      <c r="D26" s="24">
        <f>GFA!I3</f>
        <v>2281.59</v>
      </c>
      <c r="E26" s="24">
        <f>GFA!J3</f>
        <v>0</v>
      </c>
      <c r="F26" s="24">
        <f>D26+E26</f>
        <v>2281.59</v>
      </c>
      <c r="G26" s="24">
        <f>'Acc. Dep'!S3</f>
        <v>1931.4500000000003</v>
      </c>
      <c r="H26" s="24">
        <f>'Dep''n 23-27'!F5</f>
        <v>30.5</v>
      </c>
      <c r="I26" s="24">
        <f>D26-G26</f>
        <v>350.13999999999987</v>
      </c>
      <c r="J26" s="24">
        <f>D26+E26-G26-H26</f>
        <v>319.63999999999987</v>
      </c>
      <c r="L26" s="24">
        <f>IF(D26*0.7-G26&lt;0,0,D26*0.7-G26)</f>
        <v>0</v>
      </c>
      <c r="M26" s="24">
        <f>E26*0.7</f>
        <v>0</v>
      </c>
      <c r="N26" s="24">
        <f>IF((D26+E26)*0.7-(G26+H26)&lt;0,0,(D26+E26)*0.7-(G26+H26))</f>
        <v>0</v>
      </c>
      <c r="O26" s="24">
        <f>AVERAGE(L26,N26)</f>
        <v>0</v>
      </c>
      <c r="P26" s="96">
        <f>ROI!D47</f>
        <v>0</v>
      </c>
      <c r="Q26" s="24">
        <f>ROUND(O26*P26,2)</f>
        <v>0</v>
      </c>
      <c r="S26" s="24">
        <f>U5</f>
        <v>683.89949999999999</v>
      </c>
      <c r="T26" s="24">
        <f>E26*0.25</f>
        <v>0</v>
      </c>
      <c r="U26" s="24">
        <f>S26+T26</f>
        <v>683.89949999999999</v>
      </c>
      <c r="V26" s="97">
        <f>15.5%/(1-$Y$2)</f>
        <v>0.20713063929869574</v>
      </c>
      <c r="W26" s="37">
        <f>S26*V26</f>
        <v>141.65654065105838</v>
      </c>
      <c r="X26" s="37">
        <f t="shared" ref="X26:X39" si="16">AVERAGE(S26,U26)*V26-W26</f>
        <v>0</v>
      </c>
      <c r="Y26" s="37">
        <f>ROUND((W26+X26),2)</f>
        <v>141.66</v>
      </c>
      <c r="Z26" s="19"/>
      <c r="AA26" s="19"/>
    </row>
    <row r="27" spans="2:27" ht="20.25" customHeight="1" x14ac:dyDescent="0.25">
      <c r="B27" s="23">
        <v>2</v>
      </c>
      <c r="C27" s="10" t="s">
        <v>5</v>
      </c>
      <c r="D27" s="24">
        <f>GFA!I4</f>
        <v>2476.0300000000002</v>
      </c>
      <c r="E27" s="24">
        <f>GFA!J4</f>
        <v>0.18</v>
      </c>
      <c r="F27" s="24">
        <f t="shared" ref="F27:F39" si="17">D27+E27</f>
        <v>2476.21</v>
      </c>
      <c r="G27" s="24">
        <f>'Acc. Dep'!S4</f>
        <v>1979.5600000000002</v>
      </c>
      <c r="H27" s="24">
        <f>'Dep''n 23-27'!F6</f>
        <v>22.63</v>
      </c>
      <c r="I27" s="24">
        <f t="shared" ref="I27:I39" si="18">D27-G27</f>
        <v>496.47</v>
      </c>
      <c r="J27" s="24">
        <f t="shared" ref="J27:J39" si="19">D27+E27-G27-H27</f>
        <v>474.01999999999987</v>
      </c>
      <c r="L27" s="24">
        <f t="shared" ref="L27:L39" si="20">IF(D27*0.7-G27&lt;0,0,D27*0.7-G27)</f>
        <v>0</v>
      </c>
      <c r="M27" s="24">
        <f t="shared" ref="M27:M39" si="21">E27*0.7</f>
        <v>0.126</v>
      </c>
      <c r="N27" s="24">
        <f>IF((D27+E27)*0.7-(G27+H27)&lt;0,0,(D27+E27)*0.7-(G27+H27))</f>
        <v>0</v>
      </c>
      <c r="O27" s="24">
        <f t="shared" ref="O27:O39" si="22">AVERAGE(L27,N27)</f>
        <v>0</v>
      </c>
      <c r="P27" s="96">
        <f>ROI!D48</f>
        <v>0</v>
      </c>
      <c r="Q27" s="24">
        <f t="shared" ref="Q27:Q39" si="23">ROUND(O27*P27,2)</f>
        <v>0</v>
      </c>
      <c r="S27" s="24">
        <f>U6</f>
        <v>742.66899999999998</v>
      </c>
      <c r="T27" s="24">
        <f t="shared" ref="T27:T39" si="24">E27*0.25</f>
        <v>4.4999999999999998E-2</v>
      </c>
      <c r="U27" s="24">
        <f t="shared" ref="U27:U39" si="25">S27+T27</f>
        <v>742.71399999999994</v>
      </c>
      <c r="V27" s="97">
        <f t="shared" ref="V27:V31" si="26">15.5%/(1-$Y$2)</f>
        <v>0.20713063929869574</v>
      </c>
      <c r="W27" s="37">
        <f t="shared" ref="W27:W39" si="27">S27*V27</f>
        <v>153.82950475732306</v>
      </c>
      <c r="X27" s="37">
        <f t="shared" si="16"/>
        <v>4.6604393841960245E-3</v>
      </c>
      <c r="Y27" s="37">
        <f t="shared" ref="Y27:Y39" si="28">ROUND((W27+X27),2)</f>
        <v>153.83000000000001</v>
      </c>
      <c r="Z27" s="19"/>
      <c r="AA27" s="19"/>
    </row>
    <row r="28" spans="2:27" ht="20.25" customHeight="1" x14ac:dyDescent="0.25">
      <c r="B28" s="23">
        <v>3</v>
      </c>
      <c r="C28" s="10" t="s">
        <v>6</v>
      </c>
      <c r="D28" s="24">
        <f>GFA!I5</f>
        <v>5112.57</v>
      </c>
      <c r="E28" s="24">
        <f>GFA!J5</f>
        <v>0</v>
      </c>
      <c r="F28" s="24">
        <f t="shared" si="17"/>
        <v>5112.57</v>
      </c>
      <c r="G28" s="24">
        <f>'Acc. Dep'!S5</f>
        <v>1454.51</v>
      </c>
      <c r="H28" s="24">
        <f>'Dep''n 23-27'!F7</f>
        <v>174.82</v>
      </c>
      <c r="I28" s="24">
        <f t="shared" si="18"/>
        <v>3658.0599999999995</v>
      </c>
      <c r="J28" s="24">
        <f t="shared" si="19"/>
        <v>3483.2399999999993</v>
      </c>
      <c r="L28" s="24">
        <f t="shared" si="20"/>
        <v>2124.2889999999998</v>
      </c>
      <c r="M28" s="24">
        <f t="shared" si="21"/>
        <v>0</v>
      </c>
      <c r="N28" s="24">
        <f>IF((D28+E28)*0.7-(G28+H28)&lt;0,0,(D28+E28)*0.7-(G28+H28))</f>
        <v>1949.4689999999996</v>
      </c>
      <c r="O28" s="24">
        <f t="shared" si="22"/>
        <v>2036.8789999999997</v>
      </c>
      <c r="P28" s="96">
        <f>ROI!D49</f>
        <v>0</v>
      </c>
      <c r="Q28" s="24">
        <f t="shared" si="23"/>
        <v>0</v>
      </c>
      <c r="S28" s="24">
        <f>U7</f>
        <v>1533.5989999999999</v>
      </c>
      <c r="T28" s="24">
        <f t="shared" si="24"/>
        <v>0</v>
      </c>
      <c r="U28" s="24">
        <f t="shared" si="25"/>
        <v>1533.5989999999999</v>
      </c>
      <c r="V28" s="97">
        <f t="shared" si="26"/>
        <v>0.20713063929869574</v>
      </c>
      <c r="W28" s="37">
        <f t="shared" si="27"/>
        <v>317.65534129784049</v>
      </c>
      <c r="X28" s="37">
        <f t="shared" si="16"/>
        <v>0</v>
      </c>
      <c r="Y28" s="37">
        <f t="shared" si="28"/>
        <v>317.66000000000003</v>
      </c>
      <c r="Z28" s="19"/>
      <c r="AA28" s="19"/>
    </row>
    <row r="29" spans="2:27" ht="20.25" customHeight="1" x14ac:dyDescent="0.25">
      <c r="B29" s="23">
        <v>4</v>
      </c>
      <c r="C29" s="10" t="s">
        <v>8</v>
      </c>
      <c r="D29" s="24">
        <f>GFA!I7</f>
        <v>2549.23</v>
      </c>
      <c r="E29" s="24">
        <f>GFA!J7</f>
        <v>8.32</v>
      </c>
      <c r="F29" s="24">
        <f t="shared" si="17"/>
        <v>2557.5500000000002</v>
      </c>
      <c r="G29" s="24">
        <f>'Acc. Dep'!S7</f>
        <v>2119.16</v>
      </c>
      <c r="H29" s="24">
        <f>'Dep''n 23-27'!F9</f>
        <v>17.89</v>
      </c>
      <c r="I29" s="24">
        <f t="shared" si="18"/>
        <v>430.07000000000016</v>
      </c>
      <c r="J29" s="24">
        <f t="shared" si="19"/>
        <v>420.50000000000034</v>
      </c>
      <c r="L29" s="24">
        <f t="shared" si="20"/>
        <v>0</v>
      </c>
      <c r="M29" s="24">
        <f t="shared" si="21"/>
        <v>5.8239999999999998</v>
      </c>
      <c r="N29" s="24">
        <f t="shared" ref="N29:N39" si="29">IF((D29+E29)*0.7-(G29+H29)&lt;0,0,(D29+E29)*0.7-(G29+H29))</f>
        <v>0</v>
      </c>
      <c r="O29" s="24">
        <f t="shared" si="22"/>
        <v>0</v>
      </c>
      <c r="P29" s="96">
        <f>ROI!D51</f>
        <v>0</v>
      </c>
      <c r="Q29" s="24">
        <f t="shared" si="23"/>
        <v>0</v>
      </c>
      <c r="S29" s="24">
        <f t="shared" ref="S29:S39" si="30">U9</f>
        <v>764.75599999999997</v>
      </c>
      <c r="T29" s="24">
        <f t="shared" si="24"/>
        <v>2.08</v>
      </c>
      <c r="U29" s="24">
        <f t="shared" si="25"/>
        <v>766.83600000000001</v>
      </c>
      <c r="V29" s="97">
        <f t="shared" si="26"/>
        <v>0.20713063929869574</v>
      </c>
      <c r="W29" s="37">
        <f t="shared" si="27"/>
        <v>158.40439918751335</v>
      </c>
      <c r="X29" s="37">
        <f t="shared" si="16"/>
        <v>0.21541586487066411</v>
      </c>
      <c r="Y29" s="37">
        <f t="shared" si="28"/>
        <v>158.62</v>
      </c>
      <c r="Z29" s="19"/>
      <c r="AA29" s="19"/>
    </row>
    <row r="30" spans="2:27" ht="20.25" customHeight="1" x14ac:dyDescent="0.25">
      <c r="B30" s="23">
        <v>5</v>
      </c>
      <c r="C30" s="10" t="s">
        <v>9</v>
      </c>
      <c r="D30" s="24">
        <f>GFA!I8</f>
        <v>3773.0698058739999</v>
      </c>
      <c r="E30" s="24">
        <f>GFA!J8</f>
        <v>5.2</v>
      </c>
      <c r="F30" s="24">
        <f t="shared" si="17"/>
        <v>3778.2698058739998</v>
      </c>
      <c r="G30" s="24">
        <f>'Acc. Dep'!S8</f>
        <v>1584.23</v>
      </c>
      <c r="H30" s="24">
        <f>'Dep''n 23-27'!F10</f>
        <v>113.37</v>
      </c>
      <c r="I30" s="24">
        <f t="shared" si="18"/>
        <v>2188.8398058739999</v>
      </c>
      <c r="J30" s="24">
        <f t="shared" si="19"/>
        <v>2080.6698058739998</v>
      </c>
      <c r="L30" s="24">
        <f t="shared" si="20"/>
        <v>1056.9188641117998</v>
      </c>
      <c r="M30" s="24">
        <f t="shared" si="21"/>
        <v>3.6399999999999997</v>
      </c>
      <c r="N30" s="24">
        <f t="shared" si="29"/>
        <v>947.18886411179983</v>
      </c>
      <c r="O30" s="24">
        <f t="shared" si="22"/>
        <v>1002.0538641117998</v>
      </c>
      <c r="P30" s="96">
        <f>ROI!D52</f>
        <v>0</v>
      </c>
      <c r="Q30" s="24">
        <f t="shared" si="23"/>
        <v>0</v>
      </c>
      <c r="S30" s="24">
        <f t="shared" si="30"/>
        <v>1131.7404514684999</v>
      </c>
      <c r="T30" s="24">
        <f t="shared" si="24"/>
        <v>1.3</v>
      </c>
      <c r="U30" s="24">
        <f t="shared" si="25"/>
        <v>1133.0404514684999</v>
      </c>
      <c r="V30" s="97">
        <f t="shared" si="26"/>
        <v>0.20713063929869574</v>
      </c>
      <c r="W30" s="37">
        <f t="shared" si="27"/>
        <v>234.41812323286493</v>
      </c>
      <c r="X30" s="37">
        <f t="shared" si="16"/>
        <v>0.13463491554418283</v>
      </c>
      <c r="Y30" s="37">
        <f t="shared" si="28"/>
        <v>234.55</v>
      </c>
      <c r="Z30" s="19"/>
      <c r="AA30" s="19"/>
    </row>
    <row r="31" spans="2:27" ht="20.25" customHeight="1" x14ac:dyDescent="0.25">
      <c r="B31" s="23">
        <v>6</v>
      </c>
      <c r="C31" s="10" t="s">
        <v>10</v>
      </c>
      <c r="D31" s="24">
        <f>GFA!I9</f>
        <v>7540.34</v>
      </c>
      <c r="E31" s="24">
        <f>GFA!J9</f>
        <v>39.22</v>
      </c>
      <c r="F31" s="24">
        <f t="shared" si="17"/>
        <v>7579.56</v>
      </c>
      <c r="G31" s="24">
        <f>'Acc. Dep'!S9</f>
        <v>1377.1000000000001</v>
      </c>
      <c r="H31" s="24">
        <f>'Dep''n 23-27'!F11</f>
        <v>247.98</v>
      </c>
      <c r="I31" s="24">
        <f t="shared" si="18"/>
        <v>6163.24</v>
      </c>
      <c r="J31" s="24">
        <f t="shared" si="19"/>
        <v>5954.4800000000005</v>
      </c>
      <c r="L31" s="24">
        <f t="shared" si="20"/>
        <v>3901.137999999999</v>
      </c>
      <c r="M31" s="24">
        <f t="shared" si="21"/>
        <v>27.453999999999997</v>
      </c>
      <c r="N31" s="24">
        <f t="shared" si="29"/>
        <v>3680.6120000000001</v>
      </c>
      <c r="O31" s="24">
        <f t="shared" si="22"/>
        <v>3790.8749999999995</v>
      </c>
      <c r="P31" s="96">
        <f>ROI!D53</f>
        <v>0</v>
      </c>
      <c r="Q31" s="24">
        <f t="shared" si="23"/>
        <v>0</v>
      </c>
      <c r="S31" s="24">
        <f t="shared" si="30"/>
        <v>2257.3489999999997</v>
      </c>
      <c r="T31" s="24">
        <f t="shared" si="24"/>
        <v>9.8049999999999997</v>
      </c>
      <c r="U31" s="24">
        <f t="shared" si="25"/>
        <v>2267.1539999999995</v>
      </c>
      <c r="V31" s="97">
        <f t="shared" si="26"/>
        <v>0.20713063929869574</v>
      </c>
      <c r="W31" s="37">
        <f t="shared" si="27"/>
        <v>467.56614149027149</v>
      </c>
      <c r="X31" s="37">
        <f t="shared" si="16"/>
        <v>1.0154579591617789</v>
      </c>
      <c r="Y31" s="37">
        <f t="shared" si="28"/>
        <v>468.58</v>
      </c>
      <c r="Z31" s="19"/>
      <c r="AA31" s="19"/>
    </row>
    <row r="32" spans="2:27" s="189" customFormat="1" ht="20.25" customHeight="1" x14ac:dyDescent="0.25">
      <c r="B32" s="182">
        <v>7</v>
      </c>
      <c r="C32" s="183" t="s">
        <v>11</v>
      </c>
      <c r="D32" s="184">
        <f>GFA!I10</f>
        <v>1925.83</v>
      </c>
      <c r="E32" s="184">
        <f>GFA!J10</f>
        <v>0</v>
      </c>
      <c r="F32" s="184">
        <f t="shared" si="17"/>
        <v>1925.83</v>
      </c>
      <c r="G32" s="184">
        <f>'Acc. Dep'!S10</f>
        <v>1319.72</v>
      </c>
      <c r="H32" s="184">
        <f>'Dep''n 23-27'!F12</f>
        <v>59.08</v>
      </c>
      <c r="I32" s="184">
        <f t="shared" si="18"/>
        <v>606.1099999999999</v>
      </c>
      <c r="J32" s="184">
        <f t="shared" si="19"/>
        <v>547.02999999999986</v>
      </c>
      <c r="L32" s="184">
        <f t="shared" si="20"/>
        <v>28.360999999999876</v>
      </c>
      <c r="M32" s="184">
        <f t="shared" si="21"/>
        <v>0</v>
      </c>
      <c r="N32" s="184">
        <f t="shared" si="29"/>
        <v>0</v>
      </c>
      <c r="O32" s="184">
        <f t="shared" si="22"/>
        <v>14.180499999999938</v>
      </c>
      <c r="P32" s="190">
        <f>ROI!D54</f>
        <v>0</v>
      </c>
      <c r="Q32" s="184">
        <f t="shared" si="23"/>
        <v>0</v>
      </c>
      <c r="S32" s="184">
        <f t="shared" si="30"/>
        <v>577.63049999999998</v>
      </c>
      <c r="T32" s="184">
        <f t="shared" si="24"/>
        <v>0</v>
      </c>
      <c r="U32" s="184">
        <f t="shared" si="25"/>
        <v>577.63049999999998</v>
      </c>
      <c r="V32" s="191">
        <f>16.5%/(1-$Y$2)</f>
        <v>0.22049390635022451</v>
      </c>
      <c r="W32" s="192">
        <f t="shared" si="27"/>
        <v>127.36400537203335</v>
      </c>
      <c r="X32" s="192">
        <f t="shared" si="16"/>
        <v>0</v>
      </c>
      <c r="Y32" s="192">
        <f t="shared" si="28"/>
        <v>127.36</v>
      </c>
    </row>
    <row r="33" spans="2:27" ht="20.25" customHeight="1" x14ac:dyDescent="0.25">
      <c r="B33" s="23">
        <v>8</v>
      </c>
      <c r="C33" s="10" t="s">
        <v>12</v>
      </c>
      <c r="D33" s="24">
        <f>GFA!I11</f>
        <v>3400.43</v>
      </c>
      <c r="E33" s="24">
        <f>GFA!J11</f>
        <v>0</v>
      </c>
      <c r="F33" s="24">
        <f t="shared" si="17"/>
        <v>3400.43</v>
      </c>
      <c r="G33" s="24">
        <f>'Acc. Dep'!S11</f>
        <v>1996.0500000000006</v>
      </c>
      <c r="H33" s="24">
        <f>'Dep''n 23-27'!F13</f>
        <v>59.13</v>
      </c>
      <c r="I33" s="24">
        <f t="shared" si="18"/>
        <v>1404.3799999999992</v>
      </c>
      <c r="J33" s="24">
        <f t="shared" si="19"/>
        <v>1345.2499999999991</v>
      </c>
      <c r="L33" s="24">
        <f t="shared" si="20"/>
        <v>384.25099999999929</v>
      </c>
      <c r="M33" s="24">
        <f t="shared" si="21"/>
        <v>0</v>
      </c>
      <c r="N33" s="24">
        <f t="shared" si="29"/>
        <v>325.12099999999919</v>
      </c>
      <c r="O33" s="24">
        <f t="shared" si="22"/>
        <v>354.68599999999924</v>
      </c>
      <c r="P33" s="96">
        <f>ROI!D55</f>
        <v>0</v>
      </c>
      <c r="Q33" s="24">
        <f t="shared" si="23"/>
        <v>0</v>
      </c>
      <c r="S33" s="24">
        <f t="shared" si="30"/>
        <v>1019.3179999999999</v>
      </c>
      <c r="T33" s="24">
        <f t="shared" si="24"/>
        <v>0</v>
      </c>
      <c r="U33" s="24">
        <f t="shared" si="25"/>
        <v>1019.3179999999999</v>
      </c>
      <c r="V33" s="97">
        <f>16.5%/(1-Y23)</f>
        <v>0.22049390635022451</v>
      </c>
      <c r="W33" s="37">
        <f t="shared" si="27"/>
        <v>224.75340763309811</v>
      </c>
      <c r="X33" s="37">
        <f t="shared" si="16"/>
        <v>0</v>
      </c>
      <c r="Y33" s="37">
        <f t="shared" si="28"/>
        <v>224.75</v>
      </c>
      <c r="Z33" s="19"/>
      <c r="AA33" s="19"/>
    </row>
    <row r="34" spans="2:27" ht="20.25" customHeight="1" x14ac:dyDescent="0.25">
      <c r="B34" s="23">
        <v>9</v>
      </c>
      <c r="C34" s="10" t="s">
        <v>13</v>
      </c>
      <c r="D34" s="24">
        <f>GFA!I12</f>
        <v>121.98</v>
      </c>
      <c r="E34" s="24">
        <f>GFA!J12</f>
        <v>0</v>
      </c>
      <c r="F34" s="24">
        <f t="shared" si="17"/>
        <v>121.98</v>
      </c>
      <c r="G34" s="24">
        <f>'Acc. Dep'!S12</f>
        <v>94.240000000000009</v>
      </c>
      <c r="H34" s="24">
        <f>'Dep''n 23-27'!F14</f>
        <v>1.04</v>
      </c>
      <c r="I34" s="24">
        <f t="shared" si="18"/>
        <v>27.739999999999995</v>
      </c>
      <c r="J34" s="24">
        <f t="shared" si="19"/>
        <v>26.699999999999996</v>
      </c>
      <c r="L34" s="24">
        <f t="shared" si="20"/>
        <v>0</v>
      </c>
      <c r="M34" s="24">
        <f t="shared" si="21"/>
        <v>0</v>
      </c>
      <c r="N34" s="24">
        <f t="shared" si="29"/>
        <v>0</v>
      </c>
      <c r="O34" s="24">
        <f t="shared" si="22"/>
        <v>0</v>
      </c>
      <c r="P34" s="96">
        <f>ROI!D56</f>
        <v>0</v>
      </c>
      <c r="Q34" s="24">
        <f t="shared" si="23"/>
        <v>0</v>
      </c>
      <c r="S34" s="24">
        <f t="shared" si="30"/>
        <v>36.591999999999999</v>
      </c>
      <c r="T34" s="24">
        <f t="shared" si="24"/>
        <v>0</v>
      </c>
      <c r="U34" s="24">
        <f t="shared" si="25"/>
        <v>36.591999999999999</v>
      </c>
      <c r="V34" s="97">
        <f>16.5%/(1-Y23)</f>
        <v>0.22049390635022451</v>
      </c>
      <c r="W34" s="37">
        <f t="shared" si="27"/>
        <v>8.0683130211674143</v>
      </c>
      <c r="X34" s="37">
        <f t="shared" si="16"/>
        <v>0</v>
      </c>
      <c r="Y34" s="37">
        <f t="shared" si="28"/>
        <v>8.07</v>
      </c>
      <c r="Z34" s="19"/>
      <c r="AA34" s="19"/>
    </row>
    <row r="35" spans="2:27" ht="20.25" customHeight="1" x14ac:dyDescent="0.25">
      <c r="B35" s="23">
        <v>10</v>
      </c>
      <c r="C35" s="10" t="s">
        <v>14</v>
      </c>
      <c r="D35" s="24">
        <f>GFA!I13</f>
        <v>31.27</v>
      </c>
      <c r="E35" s="24">
        <f>GFA!J13</f>
        <v>0</v>
      </c>
      <c r="F35" s="24">
        <f t="shared" si="17"/>
        <v>31.27</v>
      </c>
      <c r="G35" s="24">
        <f>'Acc. Dep'!S13</f>
        <v>21.599999999999994</v>
      </c>
      <c r="H35" s="24">
        <f>'Dep''n 23-27'!F15</f>
        <v>0.34</v>
      </c>
      <c r="I35" s="24">
        <f t="shared" si="18"/>
        <v>9.6700000000000053</v>
      </c>
      <c r="J35" s="24">
        <f t="shared" si="19"/>
        <v>9.3300000000000054</v>
      </c>
      <c r="L35" s="24">
        <f t="shared" si="20"/>
        <v>0.28900000000000503</v>
      </c>
      <c r="M35" s="24">
        <f t="shared" si="21"/>
        <v>0</v>
      </c>
      <c r="N35" s="24">
        <f t="shared" si="29"/>
        <v>0</v>
      </c>
      <c r="O35" s="24">
        <f t="shared" si="22"/>
        <v>0.14450000000000252</v>
      </c>
      <c r="P35" s="96">
        <f>ROI!D57</f>
        <v>0</v>
      </c>
      <c r="Q35" s="24">
        <f t="shared" si="23"/>
        <v>0</v>
      </c>
      <c r="S35" s="24">
        <f t="shared" si="30"/>
        <v>9.3810000000000002</v>
      </c>
      <c r="T35" s="24">
        <f t="shared" si="24"/>
        <v>0</v>
      </c>
      <c r="U35" s="24">
        <f t="shared" si="25"/>
        <v>9.3810000000000002</v>
      </c>
      <c r="V35" s="97">
        <f>15.5%/(1-Y23)</f>
        <v>0.20713063929869574</v>
      </c>
      <c r="W35" s="37">
        <f t="shared" si="27"/>
        <v>1.9430925272610649</v>
      </c>
      <c r="X35" s="37">
        <f t="shared" si="16"/>
        <v>0</v>
      </c>
      <c r="Y35" s="37">
        <f t="shared" si="28"/>
        <v>1.94</v>
      </c>
      <c r="Z35" s="19"/>
      <c r="AA35" s="19"/>
    </row>
    <row r="36" spans="2:27" ht="20.25" customHeight="1" x14ac:dyDescent="0.25">
      <c r="B36" s="23">
        <v>11</v>
      </c>
      <c r="C36" s="10" t="s">
        <v>15</v>
      </c>
      <c r="D36" s="24">
        <f>GFA!I14</f>
        <v>29.74</v>
      </c>
      <c r="E36" s="24">
        <f>GFA!J14</f>
        <v>0</v>
      </c>
      <c r="F36" s="24">
        <f t="shared" si="17"/>
        <v>29.74</v>
      </c>
      <c r="G36" s="24">
        <f>'Acc. Dep'!S14</f>
        <v>12.270000000000003</v>
      </c>
      <c r="H36" s="24">
        <f>'Dep''n 23-27'!F16</f>
        <v>0.57999999999999996</v>
      </c>
      <c r="I36" s="24">
        <f t="shared" si="18"/>
        <v>17.469999999999995</v>
      </c>
      <c r="J36" s="24">
        <f t="shared" si="19"/>
        <v>16.889999999999997</v>
      </c>
      <c r="L36" s="24">
        <f t="shared" si="20"/>
        <v>8.5479999999999947</v>
      </c>
      <c r="M36" s="24">
        <f t="shared" si="21"/>
        <v>0</v>
      </c>
      <c r="N36" s="24">
        <f t="shared" si="29"/>
        <v>7.9679999999999946</v>
      </c>
      <c r="O36" s="24">
        <f t="shared" si="22"/>
        <v>8.2579999999999956</v>
      </c>
      <c r="P36" s="96">
        <f>ROI!D58</f>
        <v>0</v>
      </c>
      <c r="Q36" s="24">
        <f t="shared" si="23"/>
        <v>0</v>
      </c>
      <c r="S36" s="24">
        <f t="shared" si="30"/>
        <v>8.9219999999999988</v>
      </c>
      <c r="T36" s="24">
        <f t="shared" si="24"/>
        <v>0</v>
      </c>
      <c r="U36" s="24">
        <f t="shared" si="25"/>
        <v>8.9219999999999988</v>
      </c>
      <c r="V36" s="97">
        <f>16.5%/(1-Y23)</f>
        <v>0.22049390635022451</v>
      </c>
      <c r="W36" s="37">
        <f t="shared" si="27"/>
        <v>1.9672466324567028</v>
      </c>
      <c r="X36" s="37">
        <f t="shared" si="16"/>
        <v>0</v>
      </c>
      <c r="Y36" s="37">
        <f t="shared" si="28"/>
        <v>1.97</v>
      </c>
      <c r="Z36" s="19"/>
      <c r="AA36" s="19"/>
    </row>
    <row r="37" spans="2:27" ht="20.25" customHeight="1" x14ac:dyDescent="0.25">
      <c r="B37" s="23">
        <v>12</v>
      </c>
      <c r="C37" s="10" t="s">
        <v>16</v>
      </c>
      <c r="D37" s="24">
        <f>GFA!I15</f>
        <v>692.53</v>
      </c>
      <c r="E37" s="24">
        <f>GFA!J15</f>
        <v>0</v>
      </c>
      <c r="F37" s="24">
        <f t="shared" si="17"/>
        <v>692.53</v>
      </c>
      <c r="G37" s="24">
        <f>'Acc. Dep'!S15</f>
        <v>333.68999999999994</v>
      </c>
      <c r="H37" s="24">
        <f>'Dep''n 23-27'!F17</f>
        <v>11.14</v>
      </c>
      <c r="I37" s="24">
        <f t="shared" si="18"/>
        <v>358.84000000000003</v>
      </c>
      <c r="J37" s="24">
        <f t="shared" si="19"/>
        <v>347.70000000000005</v>
      </c>
      <c r="L37" s="24">
        <f t="shared" si="20"/>
        <v>151.08100000000002</v>
      </c>
      <c r="M37" s="24">
        <f t="shared" si="21"/>
        <v>0</v>
      </c>
      <c r="N37" s="24">
        <f t="shared" si="29"/>
        <v>139.94100000000003</v>
      </c>
      <c r="O37" s="24">
        <f t="shared" si="22"/>
        <v>145.51100000000002</v>
      </c>
      <c r="P37" s="96">
        <f>ROI!D59</f>
        <v>0</v>
      </c>
      <c r="Q37" s="24">
        <f t="shared" si="23"/>
        <v>0</v>
      </c>
      <c r="S37" s="24">
        <f t="shared" si="30"/>
        <v>207.75749999999999</v>
      </c>
      <c r="T37" s="24">
        <f t="shared" si="24"/>
        <v>0</v>
      </c>
      <c r="U37" s="24">
        <f t="shared" si="25"/>
        <v>207.75749999999999</v>
      </c>
      <c r="V37" s="97">
        <f>15.5%/(1-Y23)</f>
        <v>0.20713063929869574</v>
      </c>
      <c r="W37" s="37">
        <f t="shared" si="27"/>
        <v>43.032943794098777</v>
      </c>
      <c r="X37" s="37">
        <f t="shared" si="16"/>
        <v>0</v>
      </c>
      <c r="Y37" s="37">
        <f t="shared" si="28"/>
        <v>43.03</v>
      </c>
      <c r="Z37" s="19"/>
      <c r="AA37" s="19"/>
    </row>
    <row r="38" spans="2:27" ht="20.25" customHeight="1" x14ac:dyDescent="0.25">
      <c r="B38" s="23">
        <v>13</v>
      </c>
      <c r="C38" s="10" t="s">
        <v>17</v>
      </c>
      <c r="D38" s="24">
        <f>GFA!I16</f>
        <v>1644.24</v>
      </c>
      <c r="E38" s="24">
        <f>GFA!J16</f>
        <v>0</v>
      </c>
      <c r="F38" s="24">
        <f t="shared" si="17"/>
        <v>1644.24</v>
      </c>
      <c r="G38" s="24">
        <f>'Acc. Dep'!S16</f>
        <v>638.45999999999992</v>
      </c>
      <c r="H38" s="24">
        <f>'Dep''n 23-27'!F18</f>
        <v>27.14</v>
      </c>
      <c r="I38" s="24">
        <f t="shared" si="18"/>
        <v>1005.7800000000001</v>
      </c>
      <c r="J38" s="24">
        <f t="shared" si="19"/>
        <v>978.6400000000001</v>
      </c>
      <c r="L38" s="24">
        <f t="shared" si="20"/>
        <v>512.50799999999992</v>
      </c>
      <c r="M38" s="24">
        <f t="shared" si="21"/>
        <v>0</v>
      </c>
      <c r="N38" s="24">
        <f t="shared" si="29"/>
        <v>485.36799999999994</v>
      </c>
      <c r="O38" s="24">
        <f t="shared" si="22"/>
        <v>498.93799999999993</v>
      </c>
      <c r="P38" s="96">
        <f>ROI!D60</f>
        <v>0</v>
      </c>
      <c r="Q38" s="24">
        <f t="shared" si="23"/>
        <v>0</v>
      </c>
      <c r="S38" s="24">
        <f t="shared" si="30"/>
        <v>492.85049999999995</v>
      </c>
      <c r="T38" s="24">
        <f t="shared" si="24"/>
        <v>0</v>
      </c>
      <c r="U38" s="24">
        <f t="shared" si="25"/>
        <v>492.85049999999995</v>
      </c>
      <c r="V38" s="97">
        <f>15.5%/(1-Y23)</f>
        <v>0.20713063929869574</v>
      </c>
      <c r="W38" s="37">
        <f t="shared" si="27"/>
        <v>102.08443914368183</v>
      </c>
      <c r="X38" s="37">
        <f t="shared" si="16"/>
        <v>0</v>
      </c>
      <c r="Y38" s="37">
        <f t="shared" si="28"/>
        <v>102.08</v>
      </c>
      <c r="Z38" s="19"/>
      <c r="AA38" s="19"/>
    </row>
    <row r="39" spans="2:27" ht="20.25" customHeight="1" x14ac:dyDescent="0.25">
      <c r="B39" s="23">
        <v>14</v>
      </c>
      <c r="C39" s="10" t="s">
        <v>18</v>
      </c>
      <c r="D39" s="24">
        <f>GFA!I17</f>
        <v>440.76000000000005</v>
      </c>
      <c r="E39" s="24">
        <f>GFA!J17</f>
        <v>0</v>
      </c>
      <c r="F39" s="24">
        <f t="shared" si="17"/>
        <v>440.76000000000005</v>
      </c>
      <c r="G39" s="24">
        <f>'Acc. Dep'!S17</f>
        <v>94.96</v>
      </c>
      <c r="H39" s="24">
        <f>'Dep''n 23-27'!F19</f>
        <v>9.14</v>
      </c>
      <c r="I39" s="24">
        <f t="shared" si="18"/>
        <v>345.80000000000007</v>
      </c>
      <c r="J39" s="24">
        <f t="shared" si="19"/>
        <v>336.66000000000008</v>
      </c>
      <c r="L39" s="24">
        <f t="shared" si="20"/>
        <v>213.57200000000006</v>
      </c>
      <c r="M39" s="24">
        <f t="shared" si="21"/>
        <v>0</v>
      </c>
      <c r="N39" s="24">
        <f t="shared" si="29"/>
        <v>204.43200000000004</v>
      </c>
      <c r="O39" s="24">
        <f t="shared" si="22"/>
        <v>209.00200000000007</v>
      </c>
      <c r="P39" s="96">
        <f>ROI!D61</f>
        <v>0</v>
      </c>
      <c r="Q39" s="24">
        <f t="shared" si="23"/>
        <v>0</v>
      </c>
      <c r="S39" s="24">
        <f t="shared" si="30"/>
        <v>132.22800000000001</v>
      </c>
      <c r="T39" s="24">
        <f t="shared" si="24"/>
        <v>0</v>
      </c>
      <c r="U39" s="24">
        <f t="shared" si="25"/>
        <v>132.22800000000001</v>
      </c>
      <c r="V39" s="97">
        <f>16.5%/(1-Y23)</f>
        <v>0.22049390635022451</v>
      </c>
      <c r="W39" s="37">
        <f t="shared" si="27"/>
        <v>29.155468248877487</v>
      </c>
      <c r="X39" s="37">
        <f t="shared" si="16"/>
        <v>0</v>
      </c>
      <c r="Y39" s="37">
        <f t="shared" si="28"/>
        <v>29.16</v>
      </c>
      <c r="Z39" s="19"/>
      <c r="AA39" s="19"/>
    </row>
    <row r="40" spans="2:27" ht="20.25" customHeight="1" x14ac:dyDescent="0.25">
      <c r="B40" s="21" t="s">
        <v>19</v>
      </c>
      <c r="C40" s="27"/>
      <c r="D40" s="28">
        <f t="shared" ref="D40:J40" si="31">SUM(D26:D39)</f>
        <v>32019.609805873999</v>
      </c>
      <c r="E40" s="28">
        <f t="shared" si="31"/>
        <v>52.92</v>
      </c>
      <c r="F40" s="28">
        <f t="shared" si="31"/>
        <v>32072.529805873997</v>
      </c>
      <c r="G40" s="28">
        <f t="shared" si="31"/>
        <v>14957</v>
      </c>
      <c r="H40" s="28">
        <f t="shared" si="31"/>
        <v>774.78</v>
      </c>
      <c r="I40" s="28">
        <f t="shared" si="31"/>
        <v>17062.609805873999</v>
      </c>
      <c r="J40" s="28">
        <f t="shared" si="31"/>
        <v>16340.749805873997</v>
      </c>
      <c r="L40" s="98">
        <f>SUM(L26:L39)</f>
        <v>8380.9558641117965</v>
      </c>
      <c r="M40" s="98">
        <f>SUM(M26:M39)</f>
        <v>37.043999999999997</v>
      </c>
      <c r="N40" s="98">
        <f>SUM(N26:N39)</f>
        <v>7740.0998641117976</v>
      </c>
      <c r="O40" s="99">
        <f>SUM(O26:O39)</f>
        <v>8060.5278641118002</v>
      </c>
      <c r="P40" s="96"/>
      <c r="Q40" s="99">
        <f>SUM(Q26:Q39)</f>
        <v>0</v>
      </c>
      <c r="S40" s="100">
        <f>SUM(S26:S39)</f>
        <v>9598.6924514684997</v>
      </c>
      <c r="T40" s="100">
        <f>SUM(T26:T39)</f>
        <v>13.23</v>
      </c>
      <c r="U40" s="100">
        <f>SUM(U26:U39)</f>
        <v>9611.9224514684993</v>
      </c>
      <c r="V40" s="101"/>
      <c r="W40" s="100">
        <f>SUM(W26:W39)</f>
        <v>2011.8989669895461</v>
      </c>
      <c r="X40" s="100">
        <f>SUM(X26:X39)</f>
        <v>1.3701691789608219</v>
      </c>
      <c r="Y40" s="100">
        <f>SUM(Y26:Y39)</f>
        <v>2013.26</v>
      </c>
      <c r="Z40" s="19"/>
      <c r="AA40" s="19"/>
    </row>
    <row r="43" spans="2:27" ht="20.25" customHeight="1" x14ac:dyDescent="0.25">
      <c r="W43" s="19" t="s">
        <v>121</v>
      </c>
      <c r="Y43" s="95">
        <f>25.168%</f>
        <v>0.25168000000000001</v>
      </c>
      <c r="Z43" s="19"/>
      <c r="AA43" s="19"/>
    </row>
    <row r="44" spans="2:27" ht="20.25" customHeight="1" x14ac:dyDescent="0.25">
      <c r="C44" s="22" t="s">
        <v>138</v>
      </c>
      <c r="L44" s="469" t="s">
        <v>120</v>
      </c>
      <c r="M44" s="470"/>
      <c r="N44" s="470"/>
      <c r="O44" s="470"/>
      <c r="P44" s="470"/>
      <c r="Q44" s="471"/>
      <c r="S44" s="469" t="s">
        <v>165</v>
      </c>
      <c r="T44" s="470"/>
      <c r="U44" s="470"/>
      <c r="V44" s="470"/>
      <c r="W44" s="470"/>
      <c r="X44" s="470"/>
      <c r="Y44" s="471"/>
      <c r="Z44" s="19"/>
      <c r="AA44" s="19"/>
    </row>
    <row r="45" spans="2:27" ht="30.75" customHeight="1" x14ac:dyDescent="0.25">
      <c r="B45" s="8" t="s">
        <v>1</v>
      </c>
      <c r="C45" s="30" t="s">
        <v>2</v>
      </c>
      <c r="D45" s="9" t="s">
        <v>143</v>
      </c>
      <c r="E45" s="9" t="s">
        <v>160</v>
      </c>
      <c r="F45" s="9" t="s">
        <v>315</v>
      </c>
      <c r="G45" s="9" t="s">
        <v>161</v>
      </c>
      <c r="H45" s="9" t="s">
        <v>162</v>
      </c>
      <c r="I45" s="9" t="s">
        <v>163</v>
      </c>
      <c r="J45" s="9" t="s">
        <v>164</v>
      </c>
      <c r="L45" s="9" t="s">
        <v>84</v>
      </c>
      <c r="M45" s="9" t="s">
        <v>93</v>
      </c>
      <c r="N45" s="9" t="s">
        <v>118</v>
      </c>
      <c r="O45" s="9" t="s">
        <v>85</v>
      </c>
      <c r="P45" s="9" t="s">
        <v>86</v>
      </c>
      <c r="Q45" s="9" t="s">
        <v>119</v>
      </c>
      <c r="S45" s="9" t="s">
        <v>278</v>
      </c>
      <c r="T45" s="9" t="s">
        <v>91</v>
      </c>
      <c r="U45" s="9" t="s">
        <v>92</v>
      </c>
      <c r="V45" s="9" t="s">
        <v>87</v>
      </c>
      <c r="W45" s="9" t="s">
        <v>124</v>
      </c>
      <c r="X45" s="9" t="s">
        <v>122</v>
      </c>
      <c r="Y45" s="9" t="s">
        <v>88</v>
      </c>
      <c r="Z45" s="19"/>
      <c r="AA45" s="19"/>
    </row>
    <row r="46" spans="2:27" ht="20.25" customHeight="1" x14ac:dyDescent="0.25">
      <c r="B46" s="23">
        <v>1</v>
      </c>
      <c r="C46" s="10" t="s">
        <v>4</v>
      </c>
      <c r="D46" s="24">
        <f>GFA!K3</f>
        <v>2281.59</v>
      </c>
      <c r="E46" s="24">
        <f>GFA!L3</f>
        <v>27.08</v>
      </c>
      <c r="F46" s="24">
        <f>D46+E46</f>
        <v>2308.67</v>
      </c>
      <c r="G46" s="24">
        <f>'Acc. Dep'!U3</f>
        <v>1961.9500000000003</v>
      </c>
      <c r="H46" s="24">
        <f>'Dep''n 23-27'!G5</f>
        <v>34.56</v>
      </c>
      <c r="I46" s="24">
        <f>D46-G46</f>
        <v>319.63999999999987</v>
      </c>
      <c r="J46" s="24">
        <f>D46+E46-G46-H46</f>
        <v>312.1599999999998</v>
      </c>
      <c r="L46" s="24">
        <f>IF(D46*0.7-G46&lt;0,0,D46*0.7-G46)</f>
        <v>0</v>
      </c>
      <c r="M46" s="24">
        <f>E46*0.7</f>
        <v>18.955999999999996</v>
      </c>
      <c r="N46" s="24">
        <f>IF((D46+E46)*0.7-(G46+H46)&lt;0,0,(D46+E46)*0.7-(G46+H46))</f>
        <v>0</v>
      </c>
      <c r="O46" s="24">
        <f>AVERAGE(L46,N46)</f>
        <v>0</v>
      </c>
      <c r="P46" s="96">
        <f>ROI!D68</f>
        <v>0</v>
      </c>
      <c r="Q46" s="24">
        <f>ROUND(O46*P46,2)</f>
        <v>0</v>
      </c>
      <c r="S46" s="24">
        <f t="shared" ref="S46:S59" si="32">U26</f>
        <v>683.89949999999999</v>
      </c>
      <c r="T46" s="24">
        <f>E46*25%</f>
        <v>6.77</v>
      </c>
      <c r="U46" s="24">
        <f>S46+T46</f>
        <v>690.66949999999997</v>
      </c>
      <c r="V46" s="97">
        <f>15.5%/(1-$Y$2)</f>
        <v>0.20713063929869574</v>
      </c>
      <c r="W46" s="37">
        <f>S46*V46</f>
        <v>141.65654065105838</v>
      </c>
      <c r="X46" s="37">
        <f t="shared" ref="X46:X59" si="33">AVERAGE(S46,U46)*V46-W46</f>
        <v>0.70113721402606188</v>
      </c>
      <c r="Y46" s="37">
        <f>ROUND((W46+X46),2)</f>
        <v>142.36000000000001</v>
      </c>
      <c r="Z46" s="19"/>
      <c r="AA46" s="19"/>
    </row>
    <row r="47" spans="2:27" ht="20.25" customHeight="1" x14ac:dyDescent="0.25">
      <c r="B47" s="23">
        <v>2</v>
      </c>
      <c r="C47" s="10" t="s">
        <v>5</v>
      </c>
      <c r="D47" s="24">
        <f>GFA!K4</f>
        <v>2476.21</v>
      </c>
      <c r="E47" s="24">
        <f>GFA!L4</f>
        <v>27.08</v>
      </c>
      <c r="F47" s="24">
        <f t="shared" ref="F47:F59" si="34">D47+E47</f>
        <v>2503.29</v>
      </c>
      <c r="G47" s="24">
        <f>'Acc. Dep'!U4</f>
        <v>2002.1900000000003</v>
      </c>
      <c r="H47" s="24">
        <f>'Dep''n 23-27'!G6</f>
        <v>23.86</v>
      </c>
      <c r="I47" s="24">
        <f t="shared" ref="I47:I59" si="35">D47-G47</f>
        <v>474.01999999999975</v>
      </c>
      <c r="J47" s="24">
        <f t="shared" ref="J47:J59" si="36">D47+E47-G47-H47</f>
        <v>477.23999999999967</v>
      </c>
      <c r="L47" s="24">
        <f t="shared" ref="L47:L59" si="37">IF(D47*0.7-G47&lt;0,0,D47*0.7-G47)</f>
        <v>0</v>
      </c>
      <c r="M47" s="24">
        <f t="shared" ref="M47:M59" si="38">E47*0.7</f>
        <v>18.955999999999996</v>
      </c>
      <c r="N47" s="24">
        <f>IF((D47+E47)*0.7-(G47+H47)&lt;0,0,(D47+E47)*0.7-(G47+H47))</f>
        <v>0</v>
      </c>
      <c r="O47" s="24">
        <f t="shared" ref="O47:O59" si="39">AVERAGE(L47,N47)</f>
        <v>0</v>
      </c>
      <c r="P47" s="96">
        <f>ROI!D69</f>
        <v>0</v>
      </c>
      <c r="Q47" s="24">
        <f t="shared" ref="Q47:Q59" si="40">ROUND(O47*P47,2)</f>
        <v>0</v>
      </c>
      <c r="S47" s="24">
        <f t="shared" si="32"/>
        <v>742.71399999999994</v>
      </c>
      <c r="T47" s="24">
        <f t="shared" ref="T47:T59" si="41">E47*25%</f>
        <v>6.77</v>
      </c>
      <c r="U47" s="24">
        <f t="shared" ref="U47:U59" si="42">S47+T47</f>
        <v>749.48399999999992</v>
      </c>
      <c r="V47" s="97">
        <f t="shared" ref="V47:V51" si="43">15.5%/(1-$Y$2)</f>
        <v>0.20713063929869574</v>
      </c>
      <c r="W47" s="37">
        <f t="shared" ref="W47:W59" si="44">S47*V47</f>
        <v>153.83882563609149</v>
      </c>
      <c r="X47" s="37">
        <f t="shared" si="33"/>
        <v>0.70113721402609031</v>
      </c>
      <c r="Y47" s="37">
        <f t="shared" ref="Y47:Y59" si="45">ROUND((W47+X47),2)</f>
        <v>154.54</v>
      </c>
      <c r="Z47" s="19"/>
      <c r="AA47" s="19"/>
    </row>
    <row r="48" spans="2:27" ht="20.25" customHeight="1" x14ac:dyDescent="0.25">
      <c r="B48" s="23">
        <v>3</v>
      </c>
      <c r="C48" s="10" t="s">
        <v>6</v>
      </c>
      <c r="D48" s="24">
        <f>GFA!K5</f>
        <v>5112.57</v>
      </c>
      <c r="E48" s="24">
        <f>GFA!L5</f>
        <v>4.97</v>
      </c>
      <c r="F48" s="24">
        <f t="shared" si="34"/>
        <v>5117.54</v>
      </c>
      <c r="G48" s="24">
        <f>'Acc. Dep'!U5</f>
        <v>1629.33</v>
      </c>
      <c r="H48" s="24">
        <f>'Dep''n 23-27'!G7</f>
        <v>174.95</v>
      </c>
      <c r="I48" s="24">
        <f t="shared" si="35"/>
        <v>3483.24</v>
      </c>
      <c r="J48" s="24">
        <f t="shared" si="36"/>
        <v>3313.26</v>
      </c>
      <c r="L48" s="24">
        <f t="shared" si="37"/>
        <v>1949.4689999999996</v>
      </c>
      <c r="M48" s="24">
        <f t="shared" si="38"/>
        <v>3.4789999999999996</v>
      </c>
      <c r="N48" s="24">
        <f>IF((D48+E48)*0.7-(G48+H48)&lt;0,0,(D48+E48)*0.7-(G48+H48))</f>
        <v>1777.9979999999998</v>
      </c>
      <c r="O48" s="24">
        <f t="shared" si="39"/>
        <v>1863.7334999999998</v>
      </c>
      <c r="P48" s="96">
        <f>ROI!D70</f>
        <v>0</v>
      </c>
      <c r="Q48" s="24">
        <f t="shared" si="40"/>
        <v>0</v>
      </c>
      <c r="S48" s="24">
        <f t="shared" si="32"/>
        <v>1533.5989999999999</v>
      </c>
      <c r="T48" s="24">
        <f t="shared" si="41"/>
        <v>1.2424999999999999</v>
      </c>
      <c r="U48" s="24">
        <f t="shared" si="42"/>
        <v>1534.8415</v>
      </c>
      <c r="V48" s="97">
        <f t="shared" si="43"/>
        <v>0.20713063929869574</v>
      </c>
      <c r="W48" s="37">
        <f t="shared" si="44"/>
        <v>317.65534129784049</v>
      </c>
      <c r="X48" s="37">
        <f t="shared" si="33"/>
        <v>0.12867990966429943</v>
      </c>
      <c r="Y48" s="37">
        <f t="shared" si="45"/>
        <v>317.77999999999997</v>
      </c>
      <c r="Z48" s="19"/>
      <c r="AA48" s="19"/>
    </row>
    <row r="49" spans="2:27" ht="20.25" customHeight="1" x14ac:dyDescent="0.25">
      <c r="B49" s="23">
        <v>4</v>
      </c>
      <c r="C49" s="10" t="s">
        <v>8</v>
      </c>
      <c r="D49" s="24">
        <f>GFA!K7</f>
        <v>2557.5500000000002</v>
      </c>
      <c r="E49" s="24">
        <f>GFA!L7</f>
        <v>0</v>
      </c>
      <c r="F49" s="24">
        <f t="shared" si="34"/>
        <v>2557.5500000000002</v>
      </c>
      <c r="G49" s="24">
        <f>'Acc. Dep'!U7</f>
        <v>2137.0499999999997</v>
      </c>
      <c r="H49" s="24">
        <f>'Dep''n 23-27'!G9</f>
        <v>18.309999999999999</v>
      </c>
      <c r="I49" s="24">
        <f t="shared" si="35"/>
        <v>420.50000000000045</v>
      </c>
      <c r="J49" s="24">
        <f t="shared" si="36"/>
        <v>402.19000000000045</v>
      </c>
      <c r="L49" s="24">
        <f t="shared" si="37"/>
        <v>0</v>
      </c>
      <c r="M49" s="24">
        <f t="shared" si="38"/>
        <v>0</v>
      </c>
      <c r="N49" s="24">
        <f t="shared" ref="N49:N59" si="46">IF((D49+E49)*0.7-(G49+H49)&lt;0,0,(D49+E49)*0.7-(G49+H49))</f>
        <v>0</v>
      </c>
      <c r="O49" s="24">
        <f t="shared" si="39"/>
        <v>0</v>
      </c>
      <c r="P49" s="96">
        <f>ROI!D72</f>
        <v>0</v>
      </c>
      <c r="Q49" s="24">
        <f t="shared" si="40"/>
        <v>0</v>
      </c>
      <c r="S49" s="24">
        <f t="shared" si="32"/>
        <v>766.83600000000001</v>
      </c>
      <c r="T49" s="24">
        <f t="shared" si="41"/>
        <v>0</v>
      </c>
      <c r="U49" s="24">
        <f t="shared" si="42"/>
        <v>766.83600000000001</v>
      </c>
      <c r="V49" s="97">
        <f t="shared" si="43"/>
        <v>0.20713063929869574</v>
      </c>
      <c r="W49" s="37">
        <f t="shared" si="44"/>
        <v>158.83523091725465</v>
      </c>
      <c r="X49" s="37">
        <f t="shared" si="33"/>
        <v>0</v>
      </c>
      <c r="Y49" s="37">
        <f t="shared" si="45"/>
        <v>158.84</v>
      </c>
      <c r="Z49" s="19"/>
      <c r="AA49" s="19"/>
    </row>
    <row r="50" spans="2:27" ht="20.25" customHeight="1" x14ac:dyDescent="0.25">
      <c r="B50" s="23">
        <v>5</v>
      </c>
      <c r="C50" s="10" t="s">
        <v>9</v>
      </c>
      <c r="D50" s="24">
        <f>GFA!K8</f>
        <v>3778.2698058739998</v>
      </c>
      <c r="E50" s="24">
        <f>GFA!L8</f>
        <v>93</v>
      </c>
      <c r="F50" s="24">
        <f t="shared" si="34"/>
        <v>3871.2698058739998</v>
      </c>
      <c r="G50" s="24">
        <f>'Acc. Dep'!U8</f>
        <v>1697.6</v>
      </c>
      <c r="H50" s="24">
        <f>'Dep''n 23-27'!G10</f>
        <v>116.31</v>
      </c>
      <c r="I50" s="24">
        <f t="shared" si="35"/>
        <v>2080.6698058739998</v>
      </c>
      <c r="J50" s="24">
        <f t="shared" si="36"/>
        <v>2057.3598058739999</v>
      </c>
      <c r="L50" s="24">
        <f t="shared" si="37"/>
        <v>947.18886411179983</v>
      </c>
      <c r="M50" s="24">
        <f t="shared" si="38"/>
        <v>65.099999999999994</v>
      </c>
      <c r="N50" s="24">
        <f t="shared" si="46"/>
        <v>895.97886411179979</v>
      </c>
      <c r="O50" s="24">
        <f t="shared" si="39"/>
        <v>921.58386411179981</v>
      </c>
      <c r="P50" s="96">
        <f>ROI!D73</f>
        <v>0</v>
      </c>
      <c r="Q50" s="24">
        <f t="shared" si="40"/>
        <v>0</v>
      </c>
      <c r="S50" s="24">
        <f t="shared" si="32"/>
        <v>1133.0404514684999</v>
      </c>
      <c r="T50" s="24">
        <f t="shared" si="41"/>
        <v>23.25</v>
      </c>
      <c r="U50" s="24">
        <f t="shared" si="42"/>
        <v>1156.2904514684999</v>
      </c>
      <c r="V50" s="97">
        <f t="shared" si="43"/>
        <v>0.20713063929869574</v>
      </c>
      <c r="W50" s="37">
        <f t="shared" si="44"/>
        <v>234.68739306395324</v>
      </c>
      <c r="X50" s="37">
        <f t="shared" si="33"/>
        <v>2.4078936818473267</v>
      </c>
      <c r="Y50" s="37">
        <f t="shared" si="45"/>
        <v>237.1</v>
      </c>
      <c r="Z50" s="19"/>
      <c r="AA50" s="19"/>
    </row>
    <row r="51" spans="2:27" ht="20.25" customHeight="1" x14ac:dyDescent="0.25">
      <c r="B51" s="23">
        <v>6</v>
      </c>
      <c r="C51" s="10" t="s">
        <v>10</v>
      </c>
      <c r="D51" s="24">
        <f>GFA!K9</f>
        <v>7579.56</v>
      </c>
      <c r="E51" s="24">
        <f>GFA!L9</f>
        <v>889.13</v>
      </c>
      <c r="F51" s="24">
        <f t="shared" si="34"/>
        <v>8468.69</v>
      </c>
      <c r="G51" s="24">
        <f>'Acc. Dep'!U9</f>
        <v>1625.0800000000002</v>
      </c>
      <c r="H51" s="24">
        <f>'Dep''n 23-27'!G11</f>
        <v>267.02999999999997</v>
      </c>
      <c r="I51" s="24">
        <f t="shared" si="35"/>
        <v>5954.4800000000005</v>
      </c>
      <c r="J51" s="24">
        <f t="shared" si="36"/>
        <v>6576.5800000000008</v>
      </c>
      <c r="L51" s="24">
        <f t="shared" si="37"/>
        <v>3680.6120000000001</v>
      </c>
      <c r="M51" s="24">
        <f t="shared" si="38"/>
        <v>622.39099999999996</v>
      </c>
      <c r="N51" s="24">
        <f t="shared" si="46"/>
        <v>4035.9729999999995</v>
      </c>
      <c r="O51" s="24">
        <f t="shared" si="39"/>
        <v>3858.2924999999996</v>
      </c>
      <c r="P51" s="96">
        <f>ROI!D74</f>
        <v>0</v>
      </c>
      <c r="Q51" s="24">
        <f t="shared" si="40"/>
        <v>0</v>
      </c>
      <c r="S51" s="24">
        <f t="shared" si="32"/>
        <v>2267.1539999999995</v>
      </c>
      <c r="T51" s="24">
        <f t="shared" si="41"/>
        <v>222.2825</v>
      </c>
      <c r="U51" s="24">
        <f t="shared" si="42"/>
        <v>2489.4364999999993</v>
      </c>
      <c r="V51" s="97">
        <f t="shared" si="43"/>
        <v>0.20713063929869574</v>
      </c>
      <c r="W51" s="37">
        <f t="shared" si="44"/>
        <v>469.59705740859516</v>
      </c>
      <c r="X51" s="37">
        <f t="shared" si="33"/>
        <v>23.020758164956078</v>
      </c>
      <c r="Y51" s="37">
        <f t="shared" si="45"/>
        <v>492.62</v>
      </c>
      <c r="Z51" s="19"/>
      <c r="AA51" s="19"/>
    </row>
    <row r="52" spans="2:27" s="189" customFormat="1" ht="20.25" customHeight="1" x14ac:dyDescent="0.25">
      <c r="B52" s="182">
        <v>7</v>
      </c>
      <c r="C52" s="183" t="s">
        <v>11</v>
      </c>
      <c r="D52" s="184">
        <f>GFA!K10</f>
        <v>1925.83</v>
      </c>
      <c r="E52" s="184">
        <f>GFA!L10</f>
        <v>0</v>
      </c>
      <c r="F52" s="184">
        <f t="shared" si="34"/>
        <v>1925.83</v>
      </c>
      <c r="G52" s="184">
        <f>'Acc. Dep'!U10</f>
        <v>1378.8</v>
      </c>
      <c r="H52" s="184">
        <f>'Dep''n 23-27'!G12</f>
        <v>59.07</v>
      </c>
      <c r="I52" s="184">
        <f t="shared" si="35"/>
        <v>547.03</v>
      </c>
      <c r="J52" s="184">
        <f t="shared" si="36"/>
        <v>487.96</v>
      </c>
      <c r="L52" s="184">
        <f t="shared" si="37"/>
        <v>0</v>
      </c>
      <c r="M52" s="184">
        <f t="shared" si="38"/>
        <v>0</v>
      </c>
      <c r="N52" s="184">
        <f t="shared" si="46"/>
        <v>0</v>
      </c>
      <c r="O52" s="184">
        <f t="shared" si="39"/>
        <v>0</v>
      </c>
      <c r="P52" s="190">
        <f>ROI!D75</f>
        <v>0</v>
      </c>
      <c r="Q52" s="184">
        <f t="shared" si="40"/>
        <v>0</v>
      </c>
      <c r="S52" s="184">
        <f t="shared" si="32"/>
        <v>577.63049999999998</v>
      </c>
      <c r="T52" s="184">
        <f t="shared" si="41"/>
        <v>0</v>
      </c>
      <c r="U52" s="184">
        <f t="shared" si="42"/>
        <v>577.63049999999998</v>
      </c>
      <c r="V52" s="191">
        <f>16.5%/(1-$Y$2)</f>
        <v>0.22049390635022451</v>
      </c>
      <c r="W52" s="192">
        <f t="shared" si="44"/>
        <v>127.36400537203335</v>
      </c>
      <c r="X52" s="192">
        <f t="shared" si="33"/>
        <v>0</v>
      </c>
      <c r="Y52" s="192">
        <f t="shared" si="45"/>
        <v>127.36</v>
      </c>
    </row>
    <row r="53" spans="2:27" ht="20.25" customHeight="1" x14ac:dyDescent="0.25">
      <c r="B53" s="23">
        <v>8</v>
      </c>
      <c r="C53" s="10" t="s">
        <v>12</v>
      </c>
      <c r="D53" s="24">
        <f>GFA!K11</f>
        <v>3400.43</v>
      </c>
      <c r="E53" s="24">
        <f>GFA!L11</f>
        <v>0</v>
      </c>
      <c r="F53" s="24">
        <f t="shared" si="34"/>
        <v>3400.43</v>
      </c>
      <c r="G53" s="24">
        <f>'Acc. Dep'!U11</f>
        <v>2055.1800000000007</v>
      </c>
      <c r="H53" s="24">
        <f>'Dep''n 23-27'!G13</f>
        <v>59.13</v>
      </c>
      <c r="I53" s="24">
        <f t="shared" si="35"/>
        <v>1345.2499999999991</v>
      </c>
      <c r="J53" s="24">
        <f t="shared" si="36"/>
        <v>1286.119999999999</v>
      </c>
      <c r="L53" s="24">
        <f t="shared" si="37"/>
        <v>325.12099999999919</v>
      </c>
      <c r="M53" s="24">
        <f t="shared" si="38"/>
        <v>0</v>
      </c>
      <c r="N53" s="24">
        <f t="shared" si="46"/>
        <v>265.99099999999908</v>
      </c>
      <c r="O53" s="24">
        <f t="shared" si="39"/>
        <v>295.55599999999913</v>
      </c>
      <c r="P53" s="96">
        <f>ROI!D76</f>
        <v>0</v>
      </c>
      <c r="Q53" s="24">
        <f t="shared" si="40"/>
        <v>0</v>
      </c>
      <c r="S53" s="24">
        <f t="shared" si="32"/>
        <v>1019.3179999999999</v>
      </c>
      <c r="T53" s="24">
        <f t="shared" si="41"/>
        <v>0</v>
      </c>
      <c r="U53" s="24">
        <f t="shared" si="42"/>
        <v>1019.3179999999999</v>
      </c>
      <c r="V53" s="97">
        <f>16.5%/(1-Y43)</f>
        <v>0.22049390635022451</v>
      </c>
      <c r="W53" s="37">
        <f t="shared" si="44"/>
        <v>224.75340763309811</v>
      </c>
      <c r="X53" s="37">
        <f t="shared" si="33"/>
        <v>0</v>
      </c>
      <c r="Y53" s="37">
        <f t="shared" si="45"/>
        <v>224.75</v>
      </c>
      <c r="Z53" s="19"/>
      <c r="AA53" s="19"/>
    </row>
    <row r="54" spans="2:27" ht="20.25" customHeight="1" x14ac:dyDescent="0.25">
      <c r="B54" s="23">
        <v>9</v>
      </c>
      <c r="C54" s="10" t="s">
        <v>13</v>
      </c>
      <c r="D54" s="24">
        <f>GFA!K12</f>
        <v>121.98</v>
      </c>
      <c r="E54" s="24">
        <f>GFA!L12</f>
        <v>0</v>
      </c>
      <c r="F54" s="24">
        <f t="shared" si="34"/>
        <v>121.98</v>
      </c>
      <c r="G54" s="24">
        <f>'Acc. Dep'!U12</f>
        <v>95.280000000000015</v>
      </c>
      <c r="H54" s="24">
        <f>'Dep''n 23-27'!G14</f>
        <v>1.04</v>
      </c>
      <c r="I54" s="24">
        <f t="shared" si="35"/>
        <v>26.699999999999989</v>
      </c>
      <c r="J54" s="24">
        <f t="shared" si="36"/>
        <v>25.659999999999989</v>
      </c>
      <c r="L54" s="24">
        <f t="shared" si="37"/>
        <v>0</v>
      </c>
      <c r="M54" s="24">
        <f t="shared" si="38"/>
        <v>0</v>
      </c>
      <c r="N54" s="24">
        <f t="shared" si="46"/>
        <v>0</v>
      </c>
      <c r="O54" s="24">
        <f t="shared" si="39"/>
        <v>0</v>
      </c>
      <c r="P54" s="96">
        <f>ROI!D77</f>
        <v>0</v>
      </c>
      <c r="Q54" s="24">
        <f t="shared" si="40"/>
        <v>0</v>
      </c>
      <c r="S54" s="24">
        <f t="shared" si="32"/>
        <v>36.591999999999999</v>
      </c>
      <c r="T54" s="24">
        <f t="shared" si="41"/>
        <v>0</v>
      </c>
      <c r="U54" s="24">
        <f t="shared" si="42"/>
        <v>36.591999999999999</v>
      </c>
      <c r="V54" s="97">
        <f>16.5%/(1-Y43)</f>
        <v>0.22049390635022451</v>
      </c>
      <c r="W54" s="37">
        <f t="shared" si="44"/>
        <v>8.0683130211674143</v>
      </c>
      <c r="X54" s="37">
        <f t="shared" si="33"/>
        <v>0</v>
      </c>
      <c r="Y54" s="37">
        <f t="shared" si="45"/>
        <v>8.07</v>
      </c>
      <c r="Z54" s="19"/>
      <c r="AA54" s="19"/>
    </row>
    <row r="55" spans="2:27" ht="20.25" customHeight="1" x14ac:dyDescent="0.25">
      <c r="B55" s="23">
        <v>10</v>
      </c>
      <c r="C55" s="10" t="s">
        <v>14</v>
      </c>
      <c r="D55" s="24">
        <f>GFA!K13</f>
        <v>31.27</v>
      </c>
      <c r="E55" s="24">
        <f>GFA!L13</f>
        <v>0</v>
      </c>
      <c r="F55" s="24">
        <f t="shared" si="34"/>
        <v>31.27</v>
      </c>
      <c r="G55" s="24">
        <f>'Acc. Dep'!U13</f>
        <v>21.939999999999994</v>
      </c>
      <c r="H55" s="24">
        <f>'Dep''n 23-27'!G15</f>
        <v>0.34</v>
      </c>
      <c r="I55" s="24">
        <f t="shared" si="35"/>
        <v>9.3300000000000054</v>
      </c>
      <c r="J55" s="24">
        <f t="shared" si="36"/>
        <v>8.9900000000000055</v>
      </c>
      <c r="L55" s="24">
        <f t="shared" si="37"/>
        <v>0</v>
      </c>
      <c r="M55" s="24">
        <f t="shared" si="38"/>
        <v>0</v>
      </c>
      <c r="N55" s="24">
        <f t="shared" si="46"/>
        <v>0</v>
      </c>
      <c r="O55" s="24">
        <f t="shared" si="39"/>
        <v>0</v>
      </c>
      <c r="P55" s="96">
        <f>ROI!D78</f>
        <v>0</v>
      </c>
      <c r="Q55" s="24">
        <f t="shared" si="40"/>
        <v>0</v>
      </c>
      <c r="S55" s="24">
        <f t="shared" si="32"/>
        <v>9.3810000000000002</v>
      </c>
      <c r="T55" s="24">
        <f t="shared" si="41"/>
        <v>0</v>
      </c>
      <c r="U55" s="24">
        <f t="shared" si="42"/>
        <v>9.3810000000000002</v>
      </c>
      <c r="V55" s="97">
        <f>15.5%/(1-Y43)</f>
        <v>0.20713063929869574</v>
      </c>
      <c r="W55" s="37">
        <f t="shared" si="44"/>
        <v>1.9430925272610649</v>
      </c>
      <c r="X55" s="37">
        <f t="shared" si="33"/>
        <v>0</v>
      </c>
      <c r="Y55" s="37">
        <f t="shared" si="45"/>
        <v>1.94</v>
      </c>
      <c r="Z55" s="19"/>
      <c r="AA55" s="19"/>
    </row>
    <row r="56" spans="2:27" s="189" customFormat="1" ht="20.25" customHeight="1" x14ac:dyDescent="0.25">
      <c r="B56" s="182">
        <v>11</v>
      </c>
      <c r="C56" s="183" t="s">
        <v>15</v>
      </c>
      <c r="D56" s="184">
        <f>GFA!K14</f>
        <v>29.74</v>
      </c>
      <c r="E56" s="184">
        <f>GFA!L14</f>
        <v>0</v>
      </c>
      <c r="F56" s="184">
        <f t="shared" si="34"/>
        <v>29.74</v>
      </c>
      <c r="G56" s="184">
        <f>'Acc. Dep'!U14</f>
        <v>12.850000000000003</v>
      </c>
      <c r="H56" s="184">
        <f>'Dep''n 23-27'!G16</f>
        <v>0.57999999999999996</v>
      </c>
      <c r="I56" s="184">
        <f t="shared" si="35"/>
        <v>16.889999999999993</v>
      </c>
      <c r="J56" s="184">
        <f t="shared" si="36"/>
        <v>16.309999999999995</v>
      </c>
      <c r="L56" s="184">
        <f t="shared" si="37"/>
        <v>7.9679999999999946</v>
      </c>
      <c r="M56" s="184">
        <f t="shared" si="38"/>
        <v>0</v>
      </c>
      <c r="N56" s="184">
        <f t="shared" si="46"/>
        <v>7.3879999999999946</v>
      </c>
      <c r="O56" s="184">
        <f t="shared" si="39"/>
        <v>7.6779999999999946</v>
      </c>
      <c r="P56" s="190">
        <f>ROI!D79</f>
        <v>0</v>
      </c>
      <c r="Q56" s="184">
        <f t="shared" si="40"/>
        <v>0</v>
      </c>
      <c r="S56" s="184">
        <f t="shared" si="32"/>
        <v>8.9219999999999988</v>
      </c>
      <c r="T56" s="184">
        <f t="shared" si="41"/>
        <v>0</v>
      </c>
      <c r="U56" s="184">
        <f t="shared" si="42"/>
        <v>8.9219999999999988</v>
      </c>
      <c r="V56" s="191">
        <f>16.5%/(1-Y43)</f>
        <v>0.22049390635022451</v>
      </c>
      <c r="W56" s="192">
        <f t="shared" si="44"/>
        <v>1.9672466324567028</v>
      </c>
      <c r="X56" s="192">
        <f t="shared" si="33"/>
        <v>0</v>
      </c>
      <c r="Y56" s="192">
        <f t="shared" si="45"/>
        <v>1.97</v>
      </c>
    </row>
    <row r="57" spans="2:27" ht="20.25" customHeight="1" x14ac:dyDescent="0.25">
      <c r="B57" s="23">
        <v>12</v>
      </c>
      <c r="C57" s="10" t="s">
        <v>16</v>
      </c>
      <c r="D57" s="24">
        <f>GFA!K15</f>
        <v>692.53</v>
      </c>
      <c r="E57" s="24">
        <f>GFA!L15</f>
        <v>0</v>
      </c>
      <c r="F57" s="24">
        <f t="shared" si="34"/>
        <v>692.53</v>
      </c>
      <c r="G57" s="24">
        <f>'Acc. Dep'!U15</f>
        <v>344.82999999999993</v>
      </c>
      <c r="H57" s="24">
        <f>'Dep''n 23-27'!G17</f>
        <v>11.14</v>
      </c>
      <c r="I57" s="24">
        <f t="shared" si="35"/>
        <v>347.70000000000005</v>
      </c>
      <c r="J57" s="24">
        <f t="shared" si="36"/>
        <v>336.56000000000006</v>
      </c>
      <c r="L57" s="24">
        <f t="shared" si="37"/>
        <v>139.94100000000003</v>
      </c>
      <c r="M57" s="24">
        <f t="shared" si="38"/>
        <v>0</v>
      </c>
      <c r="N57" s="24">
        <f t="shared" si="46"/>
        <v>128.80100000000004</v>
      </c>
      <c r="O57" s="24">
        <f t="shared" si="39"/>
        <v>134.37100000000004</v>
      </c>
      <c r="P57" s="96">
        <f>ROI!D80</f>
        <v>0</v>
      </c>
      <c r="Q57" s="24">
        <f t="shared" si="40"/>
        <v>0</v>
      </c>
      <c r="S57" s="24">
        <f t="shared" si="32"/>
        <v>207.75749999999999</v>
      </c>
      <c r="T57" s="24">
        <f t="shared" si="41"/>
        <v>0</v>
      </c>
      <c r="U57" s="24">
        <f t="shared" si="42"/>
        <v>207.75749999999999</v>
      </c>
      <c r="V57" s="97">
        <f>15.5%/(1-Y43)</f>
        <v>0.20713063929869574</v>
      </c>
      <c r="W57" s="37">
        <f t="shared" si="44"/>
        <v>43.032943794098777</v>
      </c>
      <c r="X57" s="37">
        <f t="shared" si="33"/>
        <v>0</v>
      </c>
      <c r="Y57" s="37">
        <f t="shared" si="45"/>
        <v>43.03</v>
      </c>
      <c r="Z57" s="19"/>
      <c r="AA57" s="19"/>
    </row>
    <row r="58" spans="2:27" ht="20.25" customHeight="1" x14ac:dyDescent="0.25">
      <c r="B58" s="23">
        <v>13</v>
      </c>
      <c r="C58" s="10" t="s">
        <v>17</v>
      </c>
      <c r="D58" s="24">
        <f>GFA!K16</f>
        <v>1644.24</v>
      </c>
      <c r="E58" s="24">
        <f>GFA!L16</f>
        <v>12.6</v>
      </c>
      <c r="F58" s="24">
        <f t="shared" si="34"/>
        <v>1656.84</v>
      </c>
      <c r="G58" s="24">
        <f>'Acc. Dep'!U16</f>
        <v>665.59999999999991</v>
      </c>
      <c r="H58" s="24">
        <f>'Dep''n 23-27'!G18</f>
        <v>27.33</v>
      </c>
      <c r="I58" s="24">
        <f t="shared" si="35"/>
        <v>978.6400000000001</v>
      </c>
      <c r="J58" s="24">
        <f t="shared" si="36"/>
        <v>963.91</v>
      </c>
      <c r="L58" s="24">
        <f t="shared" si="37"/>
        <v>485.36799999999994</v>
      </c>
      <c r="M58" s="24">
        <f t="shared" si="38"/>
        <v>8.8199999999999985</v>
      </c>
      <c r="N58" s="24">
        <f t="shared" si="46"/>
        <v>466.85799999999983</v>
      </c>
      <c r="O58" s="24">
        <f t="shared" si="39"/>
        <v>476.11299999999989</v>
      </c>
      <c r="P58" s="96">
        <f>ROI!D81</f>
        <v>0</v>
      </c>
      <c r="Q58" s="24">
        <f t="shared" si="40"/>
        <v>0</v>
      </c>
      <c r="S58" s="24">
        <f t="shared" si="32"/>
        <v>492.85049999999995</v>
      </c>
      <c r="T58" s="24">
        <f t="shared" si="41"/>
        <v>3.15</v>
      </c>
      <c r="U58" s="24">
        <f t="shared" si="42"/>
        <v>496.00049999999993</v>
      </c>
      <c r="V58" s="97">
        <f>15.5%/(1-Y43)</f>
        <v>0.20713063929869574</v>
      </c>
      <c r="W58" s="37">
        <f t="shared" si="44"/>
        <v>102.08443914368183</v>
      </c>
      <c r="X58" s="37">
        <f t="shared" si="33"/>
        <v>0.32623075689544123</v>
      </c>
      <c r="Y58" s="37">
        <f t="shared" si="45"/>
        <v>102.41</v>
      </c>
      <c r="Z58" s="19"/>
      <c r="AA58" s="19"/>
    </row>
    <row r="59" spans="2:27" ht="20.25" customHeight="1" x14ac:dyDescent="0.25">
      <c r="B59" s="23">
        <v>14</v>
      </c>
      <c r="C59" s="10" t="s">
        <v>18</v>
      </c>
      <c r="D59" s="24">
        <f>GFA!K17</f>
        <v>440.76000000000005</v>
      </c>
      <c r="E59" s="24">
        <f>GFA!L17</f>
        <v>0</v>
      </c>
      <c r="F59" s="24">
        <f t="shared" si="34"/>
        <v>440.76000000000005</v>
      </c>
      <c r="G59" s="24">
        <f>'Acc. Dep'!U17</f>
        <v>104.1</v>
      </c>
      <c r="H59" s="24">
        <f>'Dep''n 23-27'!G19</f>
        <v>9.14</v>
      </c>
      <c r="I59" s="24">
        <f t="shared" si="35"/>
        <v>336.66000000000008</v>
      </c>
      <c r="J59" s="24">
        <f t="shared" si="36"/>
        <v>327.5200000000001</v>
      </c>
      <c r="L59" s="24">
        <f t="shared" si="37"/>
        <v>204.43200000000004</v>
      </c>
      <c r="M59" s="24">
        <f t="shared" si="38"/>
        <v>0</v>
      </c>
      <c r="N59" s="24">
        <f t="shared" si="46"/>
        <v>195.29200000000003</v>
      </c>
      <c r="O59" s="24">
        <f t="shared" si="39"/>
        <v>199.86200000000002</v>
      </c>
      <c r="P59" s="96">
        <f>ROI!D82</f>
        <v>0</v>
      </c>
      <c r="Q59" s="24">
        <f t="shared" si="40"/>
        <v>0</v>
      </c>
      <c r="S59" s="24">
        <f t="shared" si="32"/>
        <v>132.22800000000001</v>
      </c>
      <c r="T59" s="24">
        <f t="shared" si="41"/>
        <v>0</v>
      </c>
      <c r="U59" s="24">
        <f t="shared" si="42"/>
        <v>132.22800000000001</v>
      </c>
      <c r="V59" s="97">
        <f>16.5%/(1-Y43)</f>
        <v>0.22049390635022451</v>
      </c>
      <c r="W59" s="37">
        <f t="shared" si="44"/>
        <v>29.155468248877487</v>
      </c>
      <c r="X59" s="37">
        <f t="shared" si="33"/>
        <v>0</v>
      </c>
      <c r="Y59" s="37">
        <f t="shared" si="45"/>
        <v>29.16</v>
      </c>
      <c r="Z59" s="19"/>
      <c r="AA59" s="19"/>
    </row>
    <row r="60" spans="2:27" ht="20.25" customHeight="1" x14ac:dyDescent="0.25">
      <c r="B60" s="21" t="s">
        <v>19</v>
      </c>
      <c r="C60" s="27"/>
      <c r="D60" s="28">
        <f t="shared" ref="D60:J60" si="47">SUM(D46:D59)</f>
        <v>32072.529805873997</v>
      </c>
      <c r="E60" s="28">
        <f t="shared" si="47"/>
        <v>1053.8599999999999</v>
      </c>
      <c r="F60" s="28">
        <f t="shared" si="47"/>
        <v>33126.389805874001</v>
      </c>
      <c r="G60" s="28">
        <f t="shared" si="47"/>
        <v>15731.780000000002</v>
      </c>
      <c r="H60" s="28">
        <f t="shared" si="47"/>
        <v>802.79000000000008</v>
      </c>
      <c r="I60" s="28">
        <f t="shared" si="47"/>
        <v>16340.749805874</v>
      </c>
      <c r="J60" s="28">
        <f t="shared" si="47"/>
        <v>16591.819805873998</v>
      </c>
      <c r="L60" s="98">
        <f>SUM(L46:L59)</f>
        <v>7740.0998641117976</v>
      </c>
      <c r="M60" s="98">
        <f>SUM(M46:M59)</f>
        <v>737.702</v>
      </c>
      <c r="N60" s="98">
        <f>SUM(N46:N59)</f>
        <v>7774.2798641117988</v>
      </c>
      <c r="O60" s="99">
        <f>SUM(O46:O59)</f>
        <v>7757.1898641117978</v>
      </c>
      <c r="P60" s="96"/>
      <c r="Q60" s="99">
        <f t="shared" ref="Q60" si="48">SUM(Q46:Q59)</f>
        <v>0</v>
      </c>
      <c r="S60" s="100">
        <f>SUM(S46:S59)</f>
        <v>9611.9224514684993</v>
      </c>
      <c r="T60" s="100">
        <f>SUM(T46:T59)</f>
        <v>263.46499999999997</v>
      </c>
      <c r="U60" s="100">
        <f>SUM(U46:U59)</f>
        <v>9875.3874514684994</v>
      </c>
      <c r="V60" s="101"/>
      <c r="W60" s="100">
        <f>SUM(W46:W59)</f>
        <v>2014.6393053474678</v>
      </c>
      <c r="X60" s="100">
        <f>SUM(X46:X59)</f>
        <v>27.285836941415297</v>
      </c>
      <c r="Y60" s="100">
        <f>SUM(Y46:Y59)</f>
        <v>2041.93</v>
      </c>
      <c r="Z60" s="19"/>
      <c r="AA60" s="19"/>
    </row>
  </sheetData>
  <mergeCells count="6">
    <mergeCell ref="L44:Q44"/>
    <mergeCell ref="S44:Y44"/>
    <mergeCell ref="L3:Q3"/>
    <mergeCell ref="S3:Y3"/>
    <mergeCell ref="L24:Q24"/>
    <mergeCell ref="S24:Y24"/>
  </mergeCells>
  <pageMargins left="0.43307086614173229" right="0.43307086614173229" top="0.74803149606299213" bottom="0.74803149606299213" header="0.31496062992125984" footer="0.31496062992125984"/>
  <pageSetup paperSize="9" scale="4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B3:E20"/>
  <sheetViews>
    <sheetView view="pageBreakPreview" topLeftCell="A2" zoomScaleSheetLayoutView="100" workbookViewId="0">
      <selection activeCell="F7" sqref="F7"/>
    </sheetView>
  </sheetViews>
  <sheetFormatPr defaultColWidth="14.5703125" defaultRowHeight="15" x14ac:dyDescent="0.2"/>
  <cols>
    <col min="1" max="1" width="3.5703125" style="40" customWidth="1"/>
    <col min="2" max="16384" width="14.5703125" style="40"/>
  </cols>
  <sheetData>
    <row r="3" spans="2:5" ht="15.75" x14ac:dyDescent="0.25">
      <c r="B3" s="472" t="s">
        <v>52</v>
      </c>
      <c r="C3" s="472"/>
      <c r="D3" s="472"/>
      <c r="E3" s="472"/>
    </row>
    <row r="4" spans="2:5" ht="15.75" x14ac:dyDescent="0.25">
      <c r="B4" s="111" t="s">
        <v>35</v>
      </c>
      <c r="C4" s="112" t="s">
        <v>136</v>
      </c>
      <c r="D4" s="112" t="s">
        <v>137</v>
      </c>
      <c r="E4" s="112" t="s">
        <v>138</v>
      </c>
    </row>
    <row r="5" spans="2:5" x14ac:dyDescent="0.2">
      <c r="B5" s="83" t="s">
        <v>38</v>
      </c>
      <c r="C5" s="109">
        <f>'ROE Sheet'!Y5</f>
        <v>141.36000000000001</v>
      </c>
      <c r="D5" s="80">
        <f>'ROE Sheet'!Y26</f>
        <v>141.66</v>
      </c>
      <c r="E5" s="83">
        <f>'ROE Sheet'!Y46</f>
        <v>142.36000000000001</v>
      </c>
    </row>
    <row r="6" spans="2:5" x14ac:dyDescent="0.2">
      <c r="B6" s="83" t="s">
        <v>39</v>
      </c>
      <c r="C6" s="109">
        <f>'ROE Sheet'!Y6</f>
        <v>153.76</v>
      </c>
      <c r="D6" s="80">
        <f>'ROE Sheet'!Y27</f>
        <v>153.83000000000001</v>
      </c>
      <c r="E6" s="83">
        <f>'ROE Sheet'!Y47</f>
        <v>154.54</v>
      </c>
    </row>
    <row r="7" spans="2:5" x14ac:dyDescent="0.2">
      <c r="B7" s="83" t="s">
        <v>40</v>
      </c>
      <c r="C7" s="109">
        <f>'ROE Sheet'!Y7</f>
        <v>317.57</v>
      </c>
      <c r="D7" s="80">
        <f>'ROE Sheet'!Y28</f>
        <v>317.66000000000003</v>
      </c>
      <c r="E7" s="83">
        <f>'ROE Sheet'!Y48</f>
        <v>317.77999999999997</v>
      </c>
    </row>
    <row r="8" spans="2:5" x14ac:dyDescent="0.2">
      <c r="B8" s="83" t="s">
        <v>7</v>
      </c>
      <c r="C8" s="109">
        <f>'ROE Sheet'!Z8</f>
        <v>1.39</v>
      </c>
      <c r="D8" s="80"/>
      <c r="E8" s="83"/>
    </row>
    <row r="9" spans="2:5" x14ac:dyDescent="0.2">
      <c r="B9" s="83" t="s">
        <v>36</v>
      </c>
      <c r="C9" s="109">
        <f>'ROE Sheet'!Y9</f>
        <v>158.4</v>
      </c>
      <c r="D9" s="80">
        <f>'ROE Sheet'!Y29</f>
        <v>158.62</v>
      </c>
      <c r="E9" s="83">
        <f>'ROE Sheet'!Y49</f>
        <v>158.84</v>
      </c>
    </row>
    <row r="10" spans="2:5" x14ac:dyDescent="0.2">
      <c r="B10" s="83" t="s">
        <v>37</v>
      </c>
      <c r="C10" s="109">
        <f>'ROE Sheet'!Y10</f>
        <v>234.32</v>
      </c>
      <c r="D10" s="80">
        <f>'ROE Sheet'!Y30</f>
        <v>234.55</v>
      </c>
      <c r="E10" s="83">
        <f>'ROE Sheet'!Y50</f>
        <v>237.1</v>
      </c>
    </row>
    <row r="11" spans="2:5" x14ac:dyDescent="0.2">
      <c r="B11" s="83" t="s">
        <v>10</v>
      </c>
      <c r="C11" s="109">
        <f>'ROE Sheet'!Y11</f>
        <v>465.1</v>
      </c>
      <c r="D11" s="80">
        <f>'ROE Sheet'!Y31</f>
        <v>468.58</v>
      </c>
      <c r="E11" s="83">
        <f>'ROE Sheet'!Y51</f>
        <v>492.62</v>
      </c>
    </row>
    <row r="12" spans="2:5" x14ac:dyDescent="0.2">
      <c r="B12" s="83" t="s">
        <v>41</v>
      </c>
      <c r="C12" s="109">
        <f>'ROE Sheet'!Y12</f>
        <v>127.3</v>
      </c>
      <c r="D12" s="80">
        <f>'ROE Sheet'!Y32</f>
        <v>127.36</v>
      </c>
      <c r="E12" s="83">
        <f>'ROE Sheet'!Y52</f>
        <v>127.36</v>
      </c>
    </row>
    <row r="13" spans="2:5" x14ac:dyDescent="0.2">
      <c r="B13" s="83" t="s">
        <v>42</v>
      </c>
      <c r="C13" s="109">
        <f>'ROE Sheet'!Y13</f>
        <v>224.31</v>
      </c>
      <c r="D13" s="80">
        <f>'ROE Sheet'!Y33</f>
        <v>224.75</v>
      </c>
      <c r="E13" s="83">
        <f>'ROE Sheet'!Y53</f>
        <v>224.75</v>
      </c>
    </row>
    <row r="14" spans="2:5" x14ac:dyDescent="0.2">
      <c r="B14" s="83" t="s">
        <v>13</v>
      </c>
      <c r="C14" s="109">
        <f>'ROE Sheet'!Y14</f>
        <v>8.07</v>
      </c>
      <c r="D14" s="80">
        <f>'ROE Sheet'!Y34</f>
        <v>8.07</v>
      </c>
      <c r="E14" s="83">
        <f>'ROE Sheet'!Y54</f>
        <v>8.07</v>
      </c>
    </row>
    <row r="15" spans="2:5" x14ac:dyDescent="0.2">
      <c r="B15" s="83" t="s">
        <v>14</v>
      </c>
      <c r="C15" s="109">
        <f>'ROE Sheet'!Y15</f>
        <v>1.94</v>
      </c>
      <c r="D15" s="80">
        <f>'ROE Sheet'!Y35</f>
        <v>1.94</v>
      </c>
      <c r="E15" s="83">
        <f>'ROE Sheet'!Y55</f>
        <v>1.94</v>
      </c>
    </row>
    <row r="16" spans="2:5" x14ac:dyDescent="0.2">
      <c r="B16" s="83" t="s">
        <v>15</v>
      </c>
      <c r="C16" s="109">
        <f>'ROE Sheet'!Y16</f>
        <v>1.97</v>
      </c>
      <c r="D16" s="80">
        <f>'ROE Sheet'!Y36</f>
        <v>1.97</v>
      </c>
      <c r="E16" s="83">
        <f>'ROE Sheet'!Y56</f>
        <v>1.97</v>
      </c>
    </row>
    <row r="17" spans="2:5" x14ac:dyDescent="0.2">
      <c r="B17" s="83" t="s">
        <v>43</v>
      </c>
      <c r="C17" s="109">
        <f>'ROE Sheet'!Y17</f>
        <v>43.03</v>
      </c>
      <c r="D17" s="80">
        <f>'ROE Sheet'!Y37</f>
        <v>43.03</v>
      </c>
      <c r="E17" s="83">
        <f>'ROE Sheet'!Y57</f>
        <v>43.03</v>
      </c>
    </row>
    <row r="18" spans="2:5" x14ac:dyDescent="0.2">
      <c r="B18" s="83" t="s">
        <v>44</v>
      </c>
      <c r="C18" s="109">
        <f>'ROE Sheet'!Y18</f>
        <v>101.87</v>
      </c>
      <c r="D18" s="80">
        <f>'ROE Sheet'!Y38</f>
        <v>102.08</v>
      </c>
      <c r="E18" s="83">
        <f>'ROE Sheet'!Y58</f>
        <v>102.41</v>
      </c>
    </row>
    <row r="19" spans="2:5" x14ac:dyDescent="0.2">
      <c r="B19" s="83" t="s">
        <v>45</v>
      </c>
      <c r="C19" s="109">
        <f>'ROE Sheet'!Y19</f>
        <v>29.16</v>
      </c>
      <c r="D19" s="80">
        <f>'ROE Sheet'!Y39</f>
        <v>29.16</v>
      </c>
      <c r="E19" s="83">
        <f>'ROE Sheet'!Y59</f>
        <v>29.16</v>
      </c>
    </row>
    <row r="20" spans="2:5" ht="15.75" x14ac:dyDescent="0.25">
      <c r="B20" s="79" t="s">
        <v>19</v>
      </c>
      <c r="C20" s="110">
        <f t="shared" ref="C20:E20" si="0">SUM(C5:C19)</f>
        <v>2009.55</v>
      </c>
      <c r="D20" s="110">
        <f t="shared" si="0"/>
        <v>2013.26</v>
      </c>
      <c r="E20" s="110">
        <f t="shared" si="0"/>
        <v>2041.93</v>
      </c>
    </row>
  </sheetData>
  <mergeCells count="1">
    <mergeCell ref="B3:E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Q25"/>
  <sheetViews>
    <sheetView view="pageBreakPreview" topLeftCell="B9" zoomScale="118" zoomScaleSheetLayoutView="118" workbookViewId="0">
      <selection activeCell="A8" sqref="A8:XFD8"/>
    </sheetView>
  </sheetViews>
  <sheetFormatPr defaultRowHeight="15.75" x14ac:dyDescent="0.25"/>
  <cols>
    <col min="1" max="1" width="9.140625" style="19"/>
    <col min="2" max="2" width="6.7109375" style="19" customWidth="1"/>
    <col min="3" max="3" width="18.28515625" style="19" customWidth="1"/>
    <col min="4" max="7" width="9.140625" style="19"/>
    <col min="8" max="8" width="29" style="19" customWidth="1"/>
    <col min="9" max="9" width="9.140625" style="19"/>
    <col min="10" max="10" width="12.7109375" style="19" customWidth="1"/>
    <col min="11" max="16384" width="9.140625" style="19"/>
  </cols>
  <sheetData>
    <row r="1" spans="2:17" x14ac:dyDescent="0.25">
      <c r="C1" s="20" t="s">
        <v>58</v>
      </c>
      <c r="I1" s="19" t="s">
        <v>244</v>
      </c>
    </row>
    <row r="2" spans="2:17" x14ac:dyDescent="0.25">
      <c r="C2" s="19" t="s">
        <v>81</v>
      </c>
      <c r="D2" s="102"/>
      <c r="E2" s="102"/>
      <c r="F2" s="102"/>
      <c r="G2" s="102"/>
      <c r="J2" s="19" t="s">
        <v>245</v>
      </c>
      <c r="K2" s="19">
        <v>8.75</v>
      </c>
    </row>
    <row r="3" spans="2:17" x14ac:dyDescent="0.25">
      <c r="B3" s="10"/>
      <c r="C3" s="10" t="s">
        <v>80</v>
      </c>
      <c r="D3" s="10"/>
      <c r="J3" s="19" t="s">
        <v>249</v>
      </c>
      <c r="K3" s="19">
        <v>8.8000000000000007</v>
      </c>
    </row>
    <row r="4" spans="2:17" x14ac:dyDescent="0.25">
      <c r="B4" s="10"/>
      <c r="C4" s="10"/>
      <c r="D4" s="10" t="s">
        <v>0</v>
      </c>
      <c r="E4" s="19" t="s">
        <v>136</v>
      </c>
      <c r="F4" s="19" t="s">
        <v>137</v>
      </c>
      <c r="G4" s="19" t="s">
        <v>138</v>
      </c>
      <c r="J4" s="19" t="s">
        <v>250</v>
      </c>
      <c r="K4" s="19">
        <v>9</v>
      </c>
    </row>
    <row r="5" spans="2:17" x14ac:dyDescent="0.25">
      <c r="B5" s="23">
        <v>1</v>
      </c>
      <c r="C5" s="10" t="s">
        <v>4</v>
      </c>
      <c r="D5" s="96">
        <v>9.5500000000000002E-2</v>
      </c>
      <c r="E5" s="96">
        <v>9.5500000000000002E-2</v>
      </c>
      <c r="F5" s="96">
        <v>9.5500000000000002E-2</v>
      </c>
      <c r="G5" s="96">
        <v>9.5500000000000002E-2</v>
      </c>
      <c r="H5" s="103" t="s">
        <v>95</v>
      </c>
      <c r="J5" s="19" t="s">
        <v>251</v>
      </c>
      <c r="K5" s="19">
        <v>9</v>
      </c>
    </row>
    <row r="6" spans="2:17" ht="47.25" x14ac:dyDescent="0.25">
      <c r="B6" s="23">
        <v>2</v>
      </c>
      <c r="C6" s="10" t="s">
        <v>5</v>
      </c>
      <c r="D6" s="96">
        <v>0.1033</v>
      </c>
      <c r="E6" s="96">
        <v>0.1033</v>
      </c>
      <c r="F6" s="96">
        <v>0.1033</v>
      </c>
      <c r="G6" s="96">
        <v>0.1033</v>
      </c>
      <c r="H6" s="103" t="s">
        <v>97</v>
      </c>
      <c r="J6" s="19" t="s">
        <v>253</v>
      </c>
      <c r="K6" s="19">
        <v>9</v>
      </c>
      <c r="Q6" s="19">
        <f>(K9*L9+K13*L13+K16*L16+K17*L17+K19*L19)/(L9+L13+L16+L17+L19)</f>
        <v>8.886375661375661</v>
      </c>
    </row>
    <row r="7" spans="2:17" x14ac:dyDescent="0.25">
      <c r="B7" s="23">
        <v>3</v>
      </c>
      <c r="C7" s="10" t="s">
        <v>6</v>
      </c>
      <c r="D7" s="96">
        <v>9.9500000000000005E-2</v>
      </c>
      <c r="E7" s="96">
        <v>9.98E-2</v>
      </c>
      <c r="F7" s="96">
        <v>0.1007</v>
      </c>
      <c r="G7" s="96">
        <v>0.1013</v>
      </c>
      <c r="H7" s="103"/>
      <c r="J7" s="19" t="s">
        <v>252</v>
      </c>
      <c r="K7" s="19">
        <v>9</v>
      </c>
      <c r="M7" s="144">
        <v>45717</v>
      </c>
      <c r="N7" s="19">
        <v>9</v>
      </c>
    </row>
    <row r="8" spans="2:17" x14ac:dyDescent="0.25">
      <c r="B8" s="23"/>
      <c r="C8" s="10"/>
      <c r="D8" s="96"/>
      <c r="E8" s="96"/>
      <c r="F8" s="96"/>
      <c r="G8" s="96"/>
      <c r="H8" s="103"/>
      <c r="M8" s="144"/>
    </row>
    <row r="9" spans="2:17" ht="47.25" x14ac:dyDescent="0.25">
      <c r="B9" s="23">
        <v>5</v>
      </c>
      <c r="C9" s="10" t="s">
        <v>8</v>
      </c>
      <c r="D9" s="96">
        <v>9.9500000000000005E-2</v>
      </c>
      <c r="E9" s="96">
        <v>9.9500000000000005E-2</v>
      </c>
      <c r="F9" s="96">
        <v>9.9500000000000005E-2</v>
      </c>
      <c r="G9" s="96">
        <v>9.9500000000000005E-2</v>
      </c>
      <c r="H9" s="103" t="s">
        <v>97</v>
      </c>
      <c r="J9" s="19" t="s">
        <v>254</v>
      </c>
      <c r="K9" s="19">
        <v>9</v>
      </c>
      <c r="L9" s="19">
        <v>151</v>
      </c>
      <c r="M9" s="144">
        <v>45689</v>
      </c>
      <c r="N9" s="19">
        <v>9</v>
      </c>
    </row>
    <row r="10" spans="2:17" x14ac:dyDescent="0.25">
      <c r="B10" s="23">
        <v>6</v>
      </c>
      <c r="C10" s="104" t="s">
        <v>9</v>
      </c>
      <c r="D10" s="105">
        <v>0.1026</v>
      </c>
      <c r="E10" s="105">
        <v>0.1027</v>
      </c>
      <c r="F10" s="105">
        <v>0.10299999999999999</v>
      </c>
      <c r="G10" s="105">
        <v>0.10299999999999999</v>
      </c>
      <c r="H10" s="103"/>
      <c r="J10" s="19" t="s">
        <v>255</v>
      </c>
      <c r="K10" s="19">
        <v>9</v>
      </c>
      <c r="M10" s="144">
        <v>45658</v>
      </c>
      <c r="N10" s="19">
        <v>9</v>
      </c>
    </row>
    <row r="11" spans="2:17" x14ac:dyDescent="0.25">
      <c r="B11" s="23">
        <v>7</v>
      </c>
      <c r="C11" s="104" t="s">
        <v>10</v>
      </c>
      <c r="D11" s="105">
        <v>9.98E-2</v>
      </c>
      <c r="E11" s="105">
        <v>9.98E-2</v>
      </c>
      <c r="F11" s="105">
        <v>0.1019</v>
      </c>
      <c r="G11" s="105">
        <v>0.1018</v>
      </c>
      <c r="H11" s="103"/>
      <c r="J11" s="19" t="s">
        <v>256</v>
      </c>
      <c r="K11" s="19">
        <v>9</v>
      </c>
      <c r="M11" s="144">
        <v>45627</v>
      </c>
      <c r="N11" s="19">
        <v>9</v>
      </c>
    </row>
    <row r="12" spans="2:17" x14ac:dyDescent="0.25">
      <c r="B12" s="23">
        <v>8</v>
      </c>
      <c r="C12" s="104" t="s">
        <v>11</v>
      </c>
      <c r="D12" s="105">
        <v>9.9500000000000005E-2</v>
      </c>
      <c r="E12" s="105">
        <v>9.9500000000000005E-2</v>
      </c>
      <c r="F12" s="105">
        <v>0.10199999999999999</v>
      </c>
      <c r="G12" s="105">
        <v>0.10199999999999999</v>
      </c>
      <c r="H12" s="103"/>
      <c r="J12" s="19" t="s">
        <v>257</v>
      </c>
      <c r="K12" s="19">
        <v>9</v>
      </c>
      <c r="M12" s="144">
        <v>45597</v>
      </c>
      <c r="N12" s="19">
        <v>9</v>
      </c>
      <c r="O12" s="19">
        <v>15</v>
      </c>
      <c r="P12" s="144">
        <v>45383</v>
      </c>
    </row>
    <row r="13" spans="2:17" x14ac:dyDescent="0.25">
      <c r="B13" s="23">
        <v>9</v>
      </c>
      <c r="C13" s="10" t="s">
        <v>12</v>
      </c>
      <c r="D13" s="96">
        <v>0.10150000000000001</v>
      </c>
      <c r="E13" s="96">
        <v>0.10150000000000001</v>
      </c>
      <c r="F13" s="96">
        <v>0.10150000000000001</v>
      </c>
      <c r="G13" s="96">
        <v>0.10150000000000001</v>
      </c>
      <c r="H13" s="103" t="s">
        <v>95</v>
      </c>
      <c r="J13" s="19" t="s">
        <v>258</v>
      </c>
      <c r="K13" s="19">
        <v>8.9499999999999993</v>
      </c>
      <c r="L13" s="19">
        <v>91</v>
      </c>
      <c r="M13" s="144">
        <v>45597</v>
      </c>
      <c r="N13" s="19">
        <v>8.9499999999999993</v>
      </c>
      <c r="O13" s="19">
        <v>14</v>
      </c>
      <c r="P13" s="144">
        <v>45413</v>
      </c>
    </row>
    <row r="14" spans="2:17" x14ac:dyDescent="0.25">
      <c r="B14" s="106">
        <v>10</v>
      </c>
      <c r="C14" s="55" t="s">
        <v>13</v>
      </c>
      <c r="D14" s="107">
        <v>0.125</v>
      </c>
      <c r="E14" s="107">
        <v>0.125</v>
      </c>
      <c r="F14" s="107">
        <v>0.125</v>
      </c>
      <c r="G14" s="107">
        <v>0.125</v>
      </c>
      <c r="H14" s="103" t="s">
        <v>95</v>
      </c>
      <c r="J14" s="19" t="s">
        <v>259</v>
      </c>
      <c r="K14" s="19">
        <v>8.9499999999999993</v>
      </c>
      <c r="M14" s="144">
        <v>45566</v>
      </c>
      <c r="N14" s="19">
        <v>8.9499999999999993</v>
      </c>
      <c r="P14" s="144">
        <v>45444</v>
      </c>
    </row>
    <row r="15" spans="2:17" x14ac:dyDescent="0.25">
      <c r="B15" s="23">
        <v>11</v>
      </c>
      <c r="C15" s="10" t="s">
        <v>14</v>
      </c>
      <c r="D15" s="107">
        <v>0.125</v>
      </c>
      <c r="E15" s="107">
        <v>0.125</v>
      </c>
      <c r="F15" s="107">
        <v>0.125</v>
      </c>
      <c r="G15" s="107">
        <v>0.125</v>
      </c>
      <c r="H15" s="103" t="s">
        <v>95</v>
      </c>
      <c r="J15" s="19" t="s">
        <v>260</v>
      </c>
      <c r="K15" s="19">
        <v>8.9499999999999993</v>
      </c>
      <c r="M15" s="144">
        <v>45536</v>
      </c>
      <c r="N15" s="19">
        <v>8.9499999999999993</v>
      </c>
      <c r="P15" s="144">
        <v>45474</v>
      </c>
    </row>
    <row r="16" spans="2:17" x14ac:dyDescent="0.25">
      <c r="B16" s="23">
        <v>12</v>
      </c>
      <c r="C16" s="10" t="s">
        <v>15</v>
      </c>
      <c r="D16" s="107">
        <v>0.10100000000000001</v>
      </c>
      <c r="E16" s="107">
        <v>0.10100000000000001</v>
      </c>
      <c r="F16" s="107">
        <v>0.10100000000000001</v>
      </c>
      <c r="G16" s="107">
        <v>0.10100000000000001</v>
      </c>
      <c r="H16" s="103" t="s">
        <v>95</v>
      </c>
      <c r="J16" s="19" t="s">
        <v>246</v>
      </c>
      <c r="K16" s="19">
        <v>8.85</v>
      </c>
      <c r="L16" s="19">
        <v>31</v>
      </c>
      <c r="M16" s="144">
        <v>45505</v>
      </c>
      <c r="N16" s="19">
        <v>8.9499999999999993</v>
      </c>
      <c r="O16" s="19">
        <v>16</v>
      </c>
      <c r="P16" s="144">
        <v>45505</v>
      </c>
    </row>
    <row r="17" spans="2:16" x14ac:dyDescent="0.25">
      <c r="B17" s="23">
        <v>13</v>
      </c>
      <c r="C17" s="104" t="s">
        <v>16</v>
      </c>
      <c r="D17" s="105">
        <v>9.9500000000000005E-2</v>
      </c>
      <c r="E17" s="149">
        <v>9.9500000000000005E-2</v>
      </c>
      <c r="F17" s="149">
        <v>9.9500000000000005E-2</v>
      </c>
      <c r="G17" s="149">
        <v>9.9500000000000005E-2</v>
      </c>
      <c r="H17" s="103"/>
      <c r="J17" s="19" t="s">
        <v>247</v>
      </c>
      <c r="K17" s="19">
        <v>8.75</v>
      </c>
      <c r="L17" s="19">
        <v>30</v>
      </c>
      <c r="M17" s="144">
        <v>45505</v>
      </c>
      <c r="N17" s="19">
        <v>8.85</v>
      </c>
      <c r="O17" s="19">
        <v>15</v>
      </c>
      <c r="P17" s="144">
        <v>45536</v>
      </c>
    </row>
    <row r="18" spans="2:16" x14ac:dyDescent="0.25">
      <c r="B18" s="23">
        <v>14</v>
      </c>
      <c r="C18" s="104" t="s">
        <v>17</v>
      </c>
      <c r="D18" s="105">
        <v>9.9500000000000005E-2</v>
      </c>
      <c r="E18" s="105">
        <v>9.9500000000000005E-2</v>
      </c>
      <c r="F18" s="105">
        <v>0.10199999999999999</v>
      </c>
      <c r="G18" s="105">
        <v>0.10199999999999999</v>
      </c>
      <c r="H18" s="103"/>
      <c r="J18" s="19" t="s">
        <v>248</v>
      </c>
      <c r="K18" s="19">
        <v>8.65</v>
      </c>
      <c r="M18" s="144">
        <v>45474</v>
      </c>
      <c r="N18" s="19">
        <v>8.85</v>
      </c>
      <c r="O18" s="19">
        <v>15</v>
      </c>
      <c r="P18" s="144">
        <v>45566</v>
      </c>
    </row>
    <row r="19" spans="2:16" x14ac:dyDescent="0.25">
      <c r="B19" s="23">
        <v>15</v>
      </c>
      <c r="C19" s="10" t="s">
        <v>18</v>
      </c>
      <c r="D19" s="107">
        <v>0.1056</v>
      </c>
      <c r="E19" s="107">
        <v>0.1056</v>
      </c>
      <c r="F19" s="107">
        <v>0.1056</v>
      </c>
      <c r="G19" s="107">
        <v>0.1056</v>
      </c>
      <c r="H19" s="103" t="s">
        <v>95</v>
      </c>
      <c r="J19" s="19" t="s">
        <v>261</v>
      </c>
      <c r="K19" s="19">
        <v>8.65</v>
      </c>
      <c r="L19" s="19">
        <f>75</f>
        <v>75</v>
      </c>
      <c r="M19" s="144">
        <v>45474</v>
      </c>
      <c r="N19" s="19">
        <v>8.75</v>
      </c>
      <c r="O19" s="19">
        <v>14</v>
      </c>
      <c r="P19" s="144">
        <v>45597</v>
      </c>
    </row>
    <row r="20" spans="2:16" x14ac:dyDescent="0.25">
      <c r="H20" s="10"/>
      <c r="J20" s="19" t="s">
        <v>262</v>
      </c>
      <c r="K20" s="19">
        <v>8.65</v>
      </c>
      <c r="M20" s="19" t="s">
        <v>263</v>
      </c>
      <c r="P20" s="144">
        <v>45627</v>
      </c>
    </row>
    <row r="21" spans="2:16" ht="22.5" customHeight="1" x14ac:dyDescent="0.25">
      <c r="B21" s="10" t="s">
        <v>46</v>
      </c>
      <c r="C21" s="473" t="s">
        <v>96</v>
      </c>
      <c r="D21" s="474"/>
      <c r="E21" s="474"/>
      <c r="F21" s="474"/>
      <c r="G21" s="474"/>
      <c r="H21" s="475"/>
      <c r="P21" s="144">
        <v>45658</v>
      </c>
    </row>
    <row r="22" spans="2:16" ht="22.5" customHeight="1" x14ac:dyDescent="0.25">
      <c r="B22" s="10"/>
      <c r="C22" s="476"/>
      <c r="D22" s="477"/>
      <c r="E22" s="477"/>
      <c r="F22" s="477"/>
      <c r="G22" s="477"/>
      <c r="H22" s="478"/>
      <c r="M22" s="19">
        <v>117</v>
      </c>
      <c r="N22" s="19">
        <v>8.9499999999999993</v>
      </c>
      <c r="P22" s="144">
        <v>45689</v>
      </c>
    </row>
    <row r="23" spans="2:16" x14ac:dyDescent="0.25">
      <c r="C23" s="19" t="s">
        <v>283</v>
      </c>
      <c r="E23" s="19">
        <v>10.86</v>
      </c>
      <c r="F23" s="19">
        <v>10.71</v>
      </c>
      <c r="G23" s="19">
        <v>10.52</v>
      </c>
      <c r="M23" s="19">
        <v>31</v>
      </c>
      <c r="N23" s="19">
        <v>8.85</v>
      </c>
      <c r="P23" s="144">
        <v>45717</v>
      </c>
    </row>
    <row r="24" spans="2:16" x14ac:dyDescent="0.25">
      <c r="M24" s="19">
        <v>30</v>
      </c>
      <c r="N24" s="19">
        <v>8.75</v>
      </c>
    </row>
    <row r="25" spans="2:16" x14ac:dyDescent="0.25">
      <c r="M25" s="19">
        <v>85</v>
      </c>
      <c r="N25" s="19">
        <v>8.65</v>
      </c>
    </row>
  </sheetData>
  <mergeCells count="1">
    <mergeCell ref="C21:H22"/>
  </mergeCells>
  <pageMargins left="0.7" right="0.7" top="0.75" bottom="0.75" header="0.3" footer="0.3"/>
  <pageSetup paperSize="9" scale="9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AB58"/>
  <sheetViews>
    <sheetView topLeftCell="D9" zoomScale="106" zoomScaleNormal="106" workbookViewId="0">
      <selection activeCell="E17" sqref="E17"/>
    </sheetView>
  </sheetViews>
  <sheetFormatPr defaultRowHeight="15.75" x14ac:dyDescent="0.25"/>
  <cols>
    <col min="1" max="1" width="3.5703125" style="19" customWidth="1"/>
    <col min="2" max="2" width="7.7109375" style="19" customWidth="1"/>
    <col min="3" max="3" width="18.5703125" style="19" bestFit="1" customWidth="1"/>
    <col min="4" max="4" width="12.7109375" style="19" customWidth="1"/>
    <col min="5" max="5" width="11.28515625" style="19" customWidth="1"/>
    <col min="6" max="6" width="12.28515625" style="19" customWidth="1"/>
    <col min="7" max="7" width="10.85546875" style="19" customWidth="1"/>
    <col min="8" max="9" width="12.85546875" style="19" customWidth="1"/>
    <col min="10" max="10" width="4.28515625" style="19" customWidth="1"/>
    <col min="11" max="11" width="12.28515625" style="19" customWidth="1"/>
    <col min="12" max="12" width="10.5703125" style="19" bestFit="1" customWidth="1"/>
    <col min="13" max="13" width="15.42578125" style="19" customWidth="1"/>
    <col min="14" max="14" width="11.28515625" style="19" customWidth="1"/>
    <col min="15" max="15" width="12.28515625" style="19" customWidth="1"/>
    <col min="16" max="16" width="14" style="19" customWidth="1"/>
    <col min="17" max="17" width="10.140625" style="19" customWidth="1"/>
    <col min="18" max="18" width="11.28515625" style="19" customWidth="1"/>
    <col min="19" max="19" width="8.85546875" style="19" customWidth="1"/>
    <col min="20" max="20" width="11.28515625" style="19" hidden="1" customWidth="1"/>
    <col min="21" max="21" width="13.140625" style="19" hidden="1" customWidth="1"/>
    <col min="22" max="25" width="13.28515625" style="19" hidden="1" customWidth="1"/>
    <col min="26" max="26" width="2" style="19" customWidth="1"/>
    <col min="27" max="27" width="10.28515625" style="40" bestFit="1" customWidth="1"/>
    <col min="28" max="28" width="9.140625" style="40"/>
    <col min="29" max="16384" width="9.140625" style="19"/>
  </cols>
  <sheetData>
    <row r="1" spans="2:28" x14ac:dyDescent="0.25">
      <c r="X1" s="19" t="s">
        <v>121</v>
      </c>
      <c r="Z1" s="95">
        <f>25.168%</f>
        <v>0.25168000000000001</v>
      </c>
      <c r="AA1" s="19"/>
      <c r="AB1" s="19"/>
    </row>
    <row r="2" spans="2:28" x14ac:dyDescent="0.25">
      <c r="C2" s="22" t="s">
        <v>136</v>
      </c>
      <c r="M2" s="383" t="s">
        <v>166</v>
      </c>
      <c r="N2" s="384"/>
      <c r="O2" s="384"/>
      <c r="P2" s="384"/>
      <c r="Q2" s="384"/>
      <c r="R2" s="385"/>
      <c r="T2" s="469" t="s">
        <v>125</v>
      </c>
      <c r="U2" s="470"/>
      <c r="V2" s="470"/>
      <c r="W2" s="470"/>
      <c r="X2" s="470"/>
      <c r="Y2" s="470"/>
      <c r="Z2" s="471"/>
      <c r="AA2" s="19"/>
      <c r="AB2" s="19"/>
    </row>
    <row r="3" spans="2:28" ht="61.5" customHeight="1" x14ac:dyDescent="0.25">
      <c r="B3" s="8" t="s">
        <v>1</v>
      </c>
      <c r="C3" s="30" t="s">
        <v>2</v>
      </c>
      <c r="D3" s="9" t="s">
        <v>130</v>
      </c>
      <c r="E3" s="9" t="s">
        <v>148</v>
      </c>
      <c r="F3" s="9" t="s">
        <v>149</v>
      </c>
      <c r="G3" s="9" t="s">
        <v>150</v>
      </c>
      <c r="H3" s="9" t="s">
        <v>151</v>
      </c>
      <c r="I3" s="9" t="s">
        <v>152</v>
      </c>
      <c r="K3" s="9" t="s">
        <v>84</v>
      </c>
      <c r="L3" s="9" t="s">
        <v>279</v>
      </c>
      <c r="M3" s="9" t="s">
        <v>118</v>
      </c>
      <c r="N3" s="9" t="s">
        <v>85</v>
      </c>
      <c r="O3" s="9" t="s">
        <v>86</v>
      </c>
      <c r="P3" s="9" t="s">
        <v>119</v>
      </c>
      <c r="R3" s="9" t="s">
        <v>123</v>
      </c>
      <c r="S3" s="9" t="s">
        <v>91</v>
      </c>
      <c r="T3" s="9" t="s">
        <v>92</v>
      </c>
      <c r="U3" s="9" t="s">
        <v>87</v>
      </c>
      <c r="V3" s="9" t="s">
        <v>124</v>
      </c>
      <c r="W3" s="9" t="s">
        <v>122</v>
      </c>
      <c r="X3" s="9" t="s">
        <v>88</v>
      </c>
      <c r="AA3" s="19"/>
      <c r="AB3" s="19"/>
    </row>
    <row r="4" spans="2:28" x14ac:dyDescent="0.25">
      <c r="B4" s="23">
        <v>1</v>
      </c>
      <c r="C4" s="10" t="s">
        <v>4</v>
      </c>
      <c r="D4" s="24">
        <f>GFA!G3</f>
        <v>2270.04</v>
      </c>
      <c r="E4" s="24">
        <f>GFA!H3</f>
        <v>11.55</v>
      </c>
      <c r="F4" s="24">
        <f>'Acc. Dep'!Q3</f>
        <v>1902.2600000000002</v>
      </c>
      <c r="G4" s="24">
        <f>'Dep''n 23-27'!D5</f>
        <v>29.19</v>
      </c>
      <c r="H4" s="24">
        <f>D4-F4</f>
        <v>367.77999999999975</v>
      </c>
      <c r="I4" s="24">
        <f>D4+E4-F4-G4</f>
        <v>350.13999999999993</v>
      </c>
      <c r="K4" s="24">
        <f>IF(D4*0.7-F4&lt;0,0,D4*0.7-F4)</f>
        <v>0</v>
      </c>
      <c r="L4" s="24">
        <f>E4*0.75</f>
        <v>8.6625000000000014</v>
      </c>
      <c r="M4" s="24">
        <f>IF((D4*0.7+E4*0.75)-(F4+G4)&lt;0,0,(D4*0.7+E4*0.75)-(F4+G4))</f>
        <v>0</v>
      </c>
      <c r="N4" s="24">
        <f>AVERAGE(K4,M4)</f>
        <v>0</v>
      </c>
      <c r="O4" s="96">
        <f>ROI!E5</f>
        <v>9.5500000000000002E-2</v>
      </c>
      <c r="P4" s="24">
        <f t="shared" ref="P4:P18" si="0">ROUND(N4*O4,2)</f>
        <v>0</v>
      </c>
      <c r="R4" s="24">
        <f t="shared" ref="R4:S6" si="1">D4*0.3</f>
        <v>681.01199999999994</v>
      </c>
      <c r="S4" s="24">
        <f t="shared" si="1"/>
        <v>3.4650000000000003</v>
      </c>
      <c r="T4" s="24">
        <f>R4+S4</f>
        <v>684.47699999999998</v>
      </c>
      <c r="U4" s="97" t="e">
        <f>15.5%/(1-#REF!)</f>
        <v>#REF!</v>
      </c>
      <c r="V4" s="37" t="e">
        <f>R4*U4</f>
        <v>#REF!</v>
      </c>
      <c r="W4" s="37" t="e">
        <f t="shared" ref="W4:W18" si="2">AVERAGE(R4,T4)*U4-V4</f>
        <v>#REF!</v>
      </c>
      <c r="X4" s="37" t="e">
        <f>ROUND((V4+W4),2)</f>
        <v>#REF!</v>
      </c>
      <c r="AA4" s="19"/>
      <c r="AB4" s="19"/>
    </row>
    <row r="5" spans="2:28" x14ac:dyDescent="0.25">
      <c r="B5" s="23">
        <v>2</v>
      </c>
      <c r="C5" s="10" t="s">
        <v>5</v>
      </c>
      <c r="D5" s="24">
        <f>GFA!G4</f>
        <v>2473.23</v>
      </c>
      <c r="E5" s="24">
        <f>GFA!H4</f>
        <v>2.8</v>
      </c>
      <c r="F5" s="24">
        <f>'Acc. Dep'!Q4</f>
        <v>1957.0500000000002</v>
      </c>
      <c r="G5" s="24">
        <f>'Dep''n 23-27'!D6</f>
        <v>22.51</v>
      </c>
      <c r="H5" s="24">
        <f>D5-F5</f>
        <v>516.17999999999984</v>
      </c>
      <c r="I5" s="24">
        <f>D5+E5-F5-G5</f>
        <v>496.47</v>
      </c>
      <c r="K5" s="24">
        <f>IF(D5*0.7-F5&lt;0,0,D5*0.7-F5)</f>
        <v>0</v>
      </c>
      <c r="L5" s="24">
        <f>E5*0.75</f>
        <v>2.0999999999999996</v>
      </c>
      <c r="M5" s="24">
        <f>IF((D5*0.7+E5*0.75)-(F5+G5)&lt;0,0,(D5*0.7+E5*0.75)-(F5+G5))</f>
        <v>0</v>
      </c>
      <c r="N5" s="24">
        <f t="shared" ref="N5:N18" si="3">AVERAGE(K5,M5)</f>
        <v>0</v>
      </c>
      <c r="O5" s="96">
        <f>ROI!E6</f>
        <v>0.1033</v>
      </c>
      <c r="P5" s="24">
        <f t="shared" si="0"/>
        <v>0</v>
      </c>
      <c r="R5" s="24">
        <f t="shared" si="1"/>
        <v>741.96899999999994</v>
      </c>
      <c r="S5" s="24">
        <f t="shared" si="1"/>
        <v>0.84</v>
      </c>
      <c r="T5" s="24">
        <f t="shared" ref="T5:T18" si="4">R5+S5</f>
        <v>742.80899999999997</v>
      </c>
      <c r="U5" s="97" t="e">
        <f>15.5%/(1-#REF!)</f>
        <v>#REF!</v>
      </c>
      <c r="V5" s="37" t="e">
        <f t="shared" ref="V5:V18" si="5">R5*U5</f>
        <v>#REF!</v>
      </c>
      <c r="W5" s="37" t="e">
        <f t="shared" si="2"/>
        <v>#REF!</v>
      </c>
      <c r="X5" s="37" t="e">
        <f t="shared" ref="X5:X18" si="6">ROUND((V5+W5),2)</f>
        <v>#REF!</v>
      </c>
      <c r="AA5" s="19"/>
      <c r="AB5" s="19"/>
    </row>
    <row r="6" spans="2:28" x14ac:dyDescent="0.25">
      <c r="B6" s="23">
        <v>3</v>
      </c>
      <c r="C6" s="10" t="s">
        <v>6</v>
      </c>
      <c r="D6" s="24">
        <f>GFA!G5</f>
        <v>5109.13</v>
      </c>
      <c r="E6" s="24">
        <f>GFA!H5</f>
        <v>3.44</v>
      </c>
      <c r="F6" s="24">
        <f>'Acc. Dep'!Q5</f>
        <v>1279.77</v>
      </c>
      <c r="G6" s="24">
        <f>'Dep''n 23-27'!D7</f>
        <v>174.74</v>
      </c>
      <c r="H6" s="24">
        <f>D6-F6</f>
        <v>3829.36</v>
      </c>
      <c r="I6" s="24">
        <f>D6+E6-F6-G6</f>
        <v>3658.0599999999995</v>
      </c>
      <c r="K6" s="24">
        <f>IF(D6*0.7-F6&lt;0,0,D6*0.7-F6)</f>
        <v>2296.6210000000001</v>
      </c>
      <c r="L6" s="24">
        <f>E6*0.75</f>
        <v>2.58</v>
      </c>
      <c r="M6" s="24">
        <f>IF((D6*0.7+E6*0.75)-(F6+G6)&lt;0,0,(D6*0.7+E6*0.75)-(F6+G6))</f>
        <v>2124.4610000000002</v>
      </c>
      <c r="N6" s="24">
        <f t="shared" si="3"/>
        <v>2210.5410000000002</v>
      </c>
      <c r="O6" s="96">
        <f>ROI!E7</f>
        <v>9.98E-2</v>
      </c>
      <c r="P6" s="24">
        <f t="shared" si="0"/>
        <v>220.61</v>
      </c>
      <c r="R6" s="24">
        <f t="shared" si="1"/>
        <v>1532.739</v>
      </c>
      <c r="S6" s="24">
        <f t="shared" si="1"/>
        <v>1.032</v>
      </c>
      <c r="T6" s="24">
        <f t="shared" si="4"/>
        <v>1533.771</v>
      </c>
      <c r="U6" s="97" t="e">
        <f>15.5%/(1-#REF!)</f>
        <v>#REF!</v>
      </c>
      <c r="V6" s="37" t="e">
        <f t="shared" si="5"/>
        <v>#REF!</v>
      </c>
      <c r="W6" s="37" t="e">
        <f t="shared" si="2"/>
        <v>#REF!</v>
      </c>
      <c r="X6" s="37" t="e">
        <f t="shared" si="6"/>
        <v>#REF!</v>
      </c>
      <c r="AA6" s="19"/>
      <c r="AB6" s="19"/>
    </row>
    <row r="7" spans="2:28" x14ac:dyDescent="0.25">
      <c r="B7" s="23">
        <v>4</v>
      </c>
      <c r="C7" s="10" t="s">
        <v>7</v>
      </c>
      <c r="D7" s="24">
        <f>GFA!G6</f>
        <v>127.08000000000001</v>
      </c>
      <c r="E7" s="24">
        <f>GFA!H6</f>
        <v>0</v>
      </c>
      <c r="F7" s="24">
        <f>'Acc. Dep'!Q6</f>
        <v>111.05</v>
      </c>
      <c r="G7" s="24">
        <f>'Acc. Dep'!R6</f>
        <v>3.32</v>
      </c>
      <c r="H7" s="24">
        <f>D7-F7</f>
        <v>16.030000000000015</v>
      </c>
      <c r="I7" s="24">
        <f>D7+E7-F7-G7</f>
        <v>12.710000000000015</v>
      </c>
      <c r="K7" s="24">
        <f>IF(D7*0.7-F7&lt;0,0,D7*0.7-F7)</f>
        <v>0</v>
      </c>
      <c r="L7" s="24">
        <f>E7*0.75</f>
        <v>0</v>
      </c>
      <c r="M7" s="24">
        <f>IF((D7*0.7+E7*0.75)-(F7+G7)&lt;0,0,(D7*0.7+E7*0.75)-(F7+G7))</f>
        <v>0</v>
      </c>
      <c r="N7" s="24">
        <f t="shared" si="3"/>
        <v>0</v>
      </c>
      <c r="O7" s="96">
        <f>ROI!E8</f>
        <v>0</v>
      </c>
      <c r="P7" s="24">
        <f t="shared" si="0"/>
        <v>0</v>
      </c>
      <c r="R7" s="24"/>
      <c r="S7" s="24"/>
      <c r="T7" s="24"/>
      <c r="U7" s="97"/>
      <c r="V7" s="37"/>
      <c r="W7" s="37"/>
      <c r="X7" s="37"/>
      <c r="AA7" s="19"/>
      <c r="AB7" s="19"/>
    </row>
    <row r="8" spans="2:28" x14ac:dyDescent="0.25">
      <c r="B8" s="23">
        <v>5</v>
      </c>
      <c r="C8" s="10" t="s">
        <v>8</v>
      </c>
      <c r="D8" s="24">
        <f>GFA!G7</f>
        <v>2548.9699999999998</v>
      </c>
      <c r="E8" s="24">
        <f>GFA!H7</f>
        <v>0.26</v>
      </c>
      <c r="F8" s="24">
        <f>'Acc. Dep'!Q7</f>
        <v>2101.66</v>
      </c>
      <c r="G8" s="24">
        <f>'Dep''n 23-27'!D9</f>
        <v>17.5</v>
      </c>
      <c r="H8" s="24">
        <f t="shared" ref="H8:H18" si="7">D8-F8</f>
        <v>447.30999999999995</v>
      </c>
      <c r="I8" s="24">
        <f t="shared" ref="I8:I18" si="8">D8+E8-F8-G8</f>
        <v>430.07000000000016</v>
      </c>
      <c r="K8" s="24">
        <f t="shared" ref="K8:K17" si="9">IF(D8*0.7-F8&lt;0,0,D8*0.7-F8)</f>
        <v>0</v>
      </c>
      <c r="L8" s="24">
        <f t="shared" ref="L8:L18" si="10">E8*0.75</f>
        <v>0.19500000000000001</v>
      </c>
      <c r="M8" s="24">
        <f t="shared" ref="M8:M18" si="11">IF((D8*0.7+E8*0.75)-(F8+G8)&lt;0,0,(D8*0.7+E8*0.75)-(F8+G8))</f>
        <v>0</v>
      </c>
      <c r="N8" s="24">
        <f t="shared" si="3"/>
        <v>0</v>
      </c>
      <c r="O8" s="96">
        <f>ROI!E9</f>
        <v>9.9500000000000005E-2</v>
      </c>
      <c r="P8" s="24">
        <f t="shared" si="0"/>
        <v>0</v>
      </c>
      <c r="R8" s="24">
        <f t="shared" ref="R8:R18" si="12">D8*0.3</f>
        <v>764.69099999999992</v>
      </c>
      <c r="S8" s="24">
        <f t="shared" ref="S8:S18" si="13">E8*0.3</f>
        <v>7.8E-2</v>
      </c>
      <c r="T8" s="24">
        <f t="shared" si="4"/>
        <v>764.76899999999989</v>
      </c>
      <c r="U8" s="97" t="e">
        <f>15.5%/(1-#REF!)</f>
        <v>#REF!</v>
      </c>
      <c r="V8" s="37" t="e">
        <f t="shared" si="5"/>
        <v>#REF!</v>
      </c>
      <c r="W8" s="37" t="e">
        <f t="shared" si="2"/>
        <v>#REF!</v>
      </c>
      <c r="X8" s="37" t="e">
        <f t="shared" si="6"/>
        <v>#REF!</v>
      </c>
      <c r="AA8" s="19"/>
      <c r="AB8" s="19"/>
    </row>
    <row r="9" spans="2:28" x14ac:dyDescent="0.25">
      <c r="B9" s="23">
        <v>6</v>
      </c>
      <c r="C9" s="10" t="s">
        <v>9</v>
      </c>
      <c r="D9" s="24">
        <f>GFA!G8</f>
        <v>3769.46</v>
      </c>
      <c r="E9" s="24">
        <f>GFA!H8</f>
        <v>3.6098058740000001</v>
      </c>
      <c r="F9" s="24">
        <f>'Acc. Dep'!Q8</f>
        <v>1471.11</v>
      </c>
      <c r="G9" s="24">
        <f>'Dep''n 23-27'!D10</f>
        <v>113.12</v>
      </c>
      <c r="H9" s="24">
        <f t="shared" si="7"/>
        <v>2298.3500000000004</v>
      </c>
      <c r="I9" s="24">
        <f t="shared" si="8"/>
        <v>2188.8398058740004</v>
      </c>
      <c r="K9" s="24">
        <f t="shared" si="9"/>
        <v>1167.5119999999999</v>
      </c>
      <c r="L9" s="24">
        <f t="shared" si="10"/>
        <v>2.7073544055000003</v>
      </c>
      <c r="M9" s="24">
        <f t="shared" si="11"/>
        <v>1057.0993544055</v>
      </c>
      <c r="N9" s="24">
        <f t="shared" si="3"/>
        <v>1112.3056772027498</v>
      </c>
      <c r="O9" s="96">
        <f>ROI!E10</f>
        <v>0.1027</v>
      </c>
      <c r="P9" s="24">
        <f t="shared" si="0"/>
        <v>114.23</v>
      </c>
      <c r="R9" s="24">
        <f t="shared" si="12"/>
        <v>1130.838</v>
      </c>
      <c r="S9" s="24">
        <f t="shared" si="13"/>
        <v>1.0829417621999999</v>
      </c>
      <c r="T9" s="24">
        <f t="shared" si="4"/>
        <v>1131.9209417622001</v>
      </c>
      <c r="U9" s="97" t="e">
        <f>15.5%/(1-#REF!)</f>
        <v>#REF!</v>
      </c>
      <c r="V9" s="37" t="e">
        <f t="shared" si="5"/>
        <v>#REF!</v>
      </c>
      <c r="W9" s="37" t="e">
        <f t="shared" si="2"/>
        <v>#REF!</v>
      </c>
      <c r="X9" s="37" t="e">
        <f t="shared" si="6"/>
        <v>#REF!</v>
      </c>
      <c r="AA9" s="19"/>
      <c r="AB9" s="19"/>
    </row>
    <row r="10" spans="2:28" x14ac:dyDescent="0.25">
      <c r="B10" s="23">
        <v>7</v>
      </c>
      <c r="C10" s="10" t="s">
        <v>10</v>
      </c>
      <c r="D10" s="24">
        <f>GFA!G9</f>
        <v>7445.28</v>
      </c>
      <c r="E10" s="24">
        <f>GFA!H9</f>
        <v>95.06</v>
      </c>
      <c r="F10" s="24">
        <f>'Acc. Dep'!Q9</f>
        <v>1129.92</v>
      </c>
      <c r="G10" s="24">
        <f>'Dep''n 23-27'!D11</f>
        <v>247.18</v>
      </c>
      <c r="H10" s="24">
        <f t="shared" si="7"/>
        <v>6315.36</v>
      </c>
      <c r="I10" s="24">
        <f t="shared" si="8"/>
        <v>6163.24</v>
      </c>
      <c r="K10" s="24">
        <f t="shared" si="9"/>
        <v>4081.7759999999998</v>
      </c>
      <c r="L10" s="24">
        <f t="shared" si="10"/>
        <v>71.295000000000002</v>
      </c>
      <c r="M10" s="24">
        <f t="shared" si="11"/>
        <v>3905.8909999999996</v>
      </c>
      <c r="N10" s="24">
        <f t="shared" si="3"/>
        <v>3993.8334999999997</v>
      </c>
      <c r="O10" s="96">
        <f>ROI!E11</f>
        <v>9.98E-2</v>
      </c>
      <c r="P10" s="24">
        <f t="shared" si="0"/>
        <v>398.58</v>
      </c>
      <c r="R10" s="24">
        <f t="shared" si="12"/>
        <v>2233.5839999999998</v>
      </c>
      <c r="S10" s="24">
        <f t="shared" si="13"/>
        <v>28.518000000000001</v>
      </c>
      <c r="T10" s="24">
        <f t="shared" si="4"/>
        <v>2262.1019999999999</v>
      </c>
      <c r="U10" s="97" t="e">
        <f>15.5%/(1-#REF!)</f>
        <v>#REF!</v>
      </c>
      <c r="V10" s="37" t="e">
        <f t="shared" si="5"/>
        <v>#REF!</v>
      </c>
      <c r="W10" s="37" t="e">
        <f t="shared" si="2"/>
        <v>#REF!</v>
      </c>
      <c r="X10" s="37" t="e">
        <f t="shared" si="6"/>
        <v>#REF!</v>
      </c>
      <c r="AA10" s="19"/>
      <c r="AB10" s="19"/>
    </row>
    <row r="11" spans="2:28" s="189" customFormat="1" x14ac:dyDescent="0.25">
      <c r="B11" s="182">
        <v>8</v>
      </c>
      <c r="C11" s="183" t="s">
        <v>11</v>
      </c>
      <c r="D11" s="184">
        <f>GFA!G10</f>
        <v>1923.46</v>
      </c>
      <c r="E11" s="184">
        <f>GFA!H10</f>
        <v>2.37</v>
      </c>
      <c r="F11" s="184">
        <f>'Acc. Dep'!Q10</f>
        <v>1260.8</v>
      </c>
      <c r="G11" s="184">
        <f>'Dep''n 23-27'!D12</f>
        <v>58.92</v>
      </c>
      <c r="H11" s="184">
        <f t="shared" si="7"/>
        <v>662.66000000000008</v>
      </c>
      <c r="I11" s="184">
        <f t="shared" si="8"/>
        <v>606.11</v>
      </c>
      <c r="K11" s="184">
        <f t="shared" si="9"/>
        <v>85.622000000000071</v>
      </c>
      <c r="L11" s="184">
        <f t="shared" si="10"/>
        <v>1.7775000000000001</v>
      </c>
      <c r="M11" s="184">
        <f t="shared" si="11"/>
        <v>28.479499999999916</v>
      </c>
      <c r="N11" s="184">
        <f t="shared" si="3"/>
        <v>57.050749999999994</v>
      </c>
      <c r="O11" s="190">
        <f>ROI!E12</f>
        <v>9.9500000000000005E-2</v>
      </c>
      <c r="P11" s="184">
        <f t="shared" si="0"/>
        <v>5.68</v>
      </c>
      <c r="R11" s="184">
        <f t="shared" si="12"/>
        <v>577.03800000000001</v>
      </c>
      <c r="S11" s="184">
        <f t="shared" si="13"/>
        <v>0.71099999999999997</v>
      </c>
      <c r="T11" s="184">
        <f t="shared" si="4"/>
        <v>577.74900000000002</v>
      </c>
      <c r="U11" s="191" t="e">
        <f>16.5%/(1-#REF!)</f>
        <v>#REF!</v>
      </c>
      <c r="V11" s="192" t="e">
        <f t="shared" si="5"/>
        <v>#REF!</v>
      </c>
      <c r="W11" s="192" t="e">
        <f t="shared" si="2"/>
        <v>#REF!</v>
      </c>
      <c r="X11" s="192" t="e">
        <f t="shared" si="6"/>
        <v>#REF!</v>
      </c>
    </row>
    <row r="12" spans="2:28" x14ac:dyDescent="0.25">
      <c r="B12" s="23">
        <v>9</v>
      </c>
      <c r="C12" s="10" t="s">
        <v>12</v>
      </c>
      <c r="D12" s="24">
        <f>GFA!G11</f>
        <v>3384.21</v>
      </c>
      <c r="E12" s="24">
        <f>GFA!H11</f>
        <v>16.220000000000002</v>
      </c>
      <c r="F12" s="24">
        <f>'Acc. Dep'!Q11</f>
        <v>1937.3300000000006</v>
      </c>
      <c r="G12" s="24">
        <f>'Dep''n 23-27'!D13</f>
        <v>58.72</v>
      </c>
      <c r="H12" s="24">
        <f t="shared" si="7"/>
        <v>1446.8799999999994</v>
      </c>
      <c r="I12" s="24">
        <f t="shared" si="8"/>
        <v>1404.3799999999992</v>
      </c>
      <c r="K12" s="24">
        <f t="shared" si="9"/>
        <v>431.61699999999905</v>
      </c>
      <c r="L12" s="24">
        <f t="shared" si="10"/>
        <v>12.165000000000003</v>
      </c>
      <c r="M12" s="24">
        <f t="shared" si="11"/>
        <v>385.06199999999899</v>
      </c>
      <c r="N12" s="24">
        <f t="shared" si="3"/>
        <v>408.33949999999902</v>
      </c>
      <c r="O12" s="96">
        <f>ROI!E13</f>
        <v>0.10150000000000001</v>
      </c>
      <c r="P12" s="24">
        <f t="shared" si="0"/>
        <v>41.45</v>
      </c>
      <c r="R12" s="24">
        <f t="shared" si="12"/>
        <v>1015.2629999999999</v>
      </c>
      <c r="S12" s="24">
        <f t="shared" si="13"/>
        <v>4.8660000000000005</v>
      </c>
      <c r="T12" s="24">
        <f t="shared" si="4"/>
        <v>1020.1289999999999</v>
      </c>
      <c r="U12" s="97" t="e">
        <f>16.5%/(1-#REF!)</f>
        <v>#REF!</v>
      </c>
      <c r="V12" s="37" t="e">
        <f t="shared" si="5"/>
        <v>#REF!</v>
      </c>
      <c r="W12" s="37" t="e">
        <f t="shared" si="2"/>
        <v>#REF!</v>
      </c>
      <c r="X12" s="37" t="e">
        <f t="shared" si="6"/>
        <v>#REF!</v>
      </c>
      <c r="AA12" s="19"/>
      <c r="AB12" s="19"/>
    </row>
    <row r="13" spans="2:28" x14ac:dyDescent="0.25">
      <c r="B13" s="23">
        <v>10</v>
      </c>
      <c r="C13" s="10" t="s">
        <v>13</v>
      </c>
      <c r="D13" s="24">
        <f>GFA!G12</f>
        <v>121.94</v>
      </c>
      <c r="E13" s="24">
        <f>GFA!H12</f>
        <v>0.04</v>
      </c>
      <c r="F13" s="24">
        <f>'Acc. Dep'!Q12</f>
        <v>93.2</v>
      </c>
      <c r="G13" s="24">
        <f>'Dep''n 23-27'!D14</f>
        <v>1.04</v>
      </c>
      <c r="H13" s="24">
        <f t="shared" si="7"/>
        <v>28.739999999999995</v>
      </c>
      <c r="I13" s="24">
        <f t="shared" si="8"/>
        <v>27.740000000000002</v>
      </c>
      <c r="K13" s="24">
        <f t="shared" si="9"/>
        <v>0</v>
      </c>
      <c r="L13" s="24">
        <f t="shared" si="10"/>
        <v>0.03</v>
      </c>
      <c r="M13" s="24">
        <f t="shared" si="11"/>
        <v>0</v>
      </c>
      <c r="N13" s="24">
        <f t="shared" si="3"/>
        <v>0</v>
      </c>
      <c r="O13" s="96">
        <f>ROI!E14</f>
        <v>0.125</v>
      </c>
      <c r="P13" s="24">
        <f t="shared" si="0"/>
        <v>0</v>
      </c>
      <c r="R13" s="24">
        <f t="shared" si="12"/>
        <v>36.582000000000001</v>
      </c>
      <c r="S13" s="24">
        <f t="shared" si="13"/>
        <v>1.2E-2</v>
      </c>
      <c r="T13" s="24">
        <f t="shared" si="4"/>
        <v>36.594000000000001</v>
      </c>
      <c r="U13" s="97" t="e">
        <f>16.5%/(1-#REF!)</f>
        <v>#REF!</v>
      </c>
      <c r="V13" s="37" t="e">
        <f t="shared" si="5"/>
        <v>#REF!</v>
      </c>
      <c r="W13" s="37" t="e">
        <f t="shared" si="2"/>
        <v>#REF!</v>
      </c>
      <c r="X13" s="37" t="e">
        <f t="shared" si="6"/>
        <v>#REF!</v>
      </c>
      <c r="AA13" s="19"/>
      <c r="AB13" s="19"/>
    </row>
    <row r="14" spans="2:28" x14ac:dyDescent="0.25">
      <c r="B14" s="23">
        <v>11</v>
      </c>
      <c r="C14" s="10" t="s">
        <v>14</v>
      </c>
      <c r="D14" s="24">
        <f>GFA!G13</f>
        <v>31.27</v>
      </c>
      <c r="E14" s="24">
        <f>GFA!H13</f>
        <v>0</v>
      </c>
      <c r="F14" s="24">
        <f>'Acc. Dep'!Q13</f>
        <v>21.259999999999994</v>
      </c>
      <c r="G14" s="24">
        <f>'Dep''n 23-27'!D15</f>
        <v>0.34</v>
      </c>
      <c r="H14" s="24">
        <f t="shared" si="7"/>
        <v>10.010000000000005</v>
      </c>
      <c r="I14" s="24">
        <f t="shared" si="8"/>
        <v>9.6700000000000053</v>
      </c>
      <c r="K14" s="24">
        <f t="shared" si="9"/>
        <v>0.62900000000000489</v>
      </c>
      <c r="L14" s="24">
        <f t="shared" si="10"/>
        <v>0</v>
      </c>
      <c r="M14" s="24">
        <f t="shared" si="11"/>
        <v>0.28900000000000503</v>
      </c>
      <c r="N14" s="24">
        <f t="shared" si="3"/>
        <v>0.45900000000000496</v>
      </c>
      <c r="O14" s="96">
        <f>ROI!E15</f>
        <v>0.125</v>
      </c>
      <c r="P14" s="24">
        <f t="shared" si="0"/>
        <v>0.06</v>
      </c>
      <c r="R14" s="24">
        <f t="shared" si="12"/>
        <v>9.3810000000000002</v>
      </c>
      <c r="S14" s="24">
        <f t="shared" si="13"/>
        <v>0</v>
      </c>
      <c r="T14" s="24">
        <f t="shared" si="4"/>
        <v>9.3810000000000002</v>
      </c>
      <c r="U14" s="97" t="e">
        <f>15.5%/(1-#REF!)</f>
        <v>#REF!</v>
      </c>
      <c r="V14" s="37" t="e">
        <f t="shared" si="5"/>
        <v>#REF!</v>
      </c>
      <c r="W14" s="37" t="e">
        <f t="shared" si="2"/>
        <v>#REF!</v>
      </c>
      <c r="X14" s="37" t="e">
        <f t="shared" si="6"/>
        <v>#REF!</v>
      </c>
      <c r="AA14" s="19"/>
      <c r="AB14" s="19"/>
    </row>
    <row r="15" spans="2:28" s="189" customFormat="1" x14ac:dyDescent="0.25">
      <c r="B15" s="182">
        <v>12</v>
      </c>
      <c r="C15" s="183" t="s">
        <v>15</v>
      </c>
      <c r="D15" s="184">
        <f>GFA!G14</f>
        <v>29.74</v>
      </c>
      <c r="E15" s="184">
        <f>GFA!H14</f>
        <v>0</v>
      </c>
      <c r="F15" s="184">
        <f>'Acc. Dep'!Q14</f>
        <v>11.690000000000003</v>
      </c>
      <c r="G15" s="184">
        <f>'Dep''n 23-27'!D16</f>
        <v>0.57999999999999996</v>
      </c>
      <c r="H15" s="184">
        <f t="shared" si="7"/>
        <v>18.049999999999997</v>
      </c>
      <c r="I15" s="184">
        <f t="shared" si="8"/>
        <v>17.47</v>
      </c>
      <c r="K15" s="184">
        <f t="shared" si="9"/>
        <v>9.1279999999999948</v>
      </c>
      <c r="L15" s="184">
        <f t="shared" si="10"/>
        <v>0</v>
      </c>
      <c r="M15" s="184">
        <f t="shared" si="11"/>
        <v>8.5479999999999947</v>
      </c>
      <c r="N15" s="184">
        <f t="shared" si="3"/>
        <v>8.8379999999999939</v>
      </c>
      <c r="O15" s="190">
        <f>ROI!E16</f>
        <v>0.10100000000000001</v>
      </c>
      <c r="P15" s="184">
        <f t="shared" si="0"/>
        <v>0.89</v>
      </c>
      <c r="R15" s="184">
        <f t="shared" si="12"/>
        <v>8.9219999999999988</v>
      </c>
      <c r="S15" s="184">
        <f t="shared" si="13"/>
        <v>0</v>
      </c>
      <c r="T15" s="184">
        <f t="shared" si="4"/>
        <v>8.9219999999999988</v>
      </c>
      <c r="U15" s="191" t="e">
        <f>16.5%/(1-#REF!)</f>
        <v>#REF!</v>
      </c>
      <c r="V15" s="192" t="e">
        <f t="shared" si="5"/>
        <v>#REF!</v>
      </c>
      <c r="W15" s="192" t="e">
        <f t="shared" si="2"/>
        <v>#REF!</v>
      </c>
      <c r="X15" s="192" t="e">
        <f t="shared" si="6"/>
        <v>#REF!</v>
      </c>
    </row>
    <row r="16" spans="2:28" x14ac:dyDescent="0.25">
      <c r="B16" s="23">
        <v>13</v>
      </c>
      <c r="C16" s="10" t="s">
        <v>16</v>
      </c>
      <c r="D16" s="24">
        <f>GFA!G15</f>
        <v>692.5</v>
      </c>
      <c r="E16" s="24">
        <f>GFA!H15</f>
        <v>0.03</v>
      </c>
      <c r="F16" s="24">
        <f>'Acc. Dep'!Q15</f>
        <v>322.54999999999995</v>
      </c>
      <c r="G16" s="24">
        <f>'Dep''n 23-27'!D17</f>
        <v>11.14</v>
      </c>
      <c r="H16" s="24">
        <f t="shared" si="7"/>
        <v>369.95000000000005</v>
      </c>
      <c r="I16" s="24">
        <f t="shared" si="8"/>
        <v>358.84000000000003</v>
      </c>
      <c r="K16" s="24">
        <f t="shared" si="9"/>
        <v>162.19999999999999</v>
      </c>
      <c r="L16" s="24">
        <f t="shared" si="10"/>
        <v>2.2499999999999999E-2</v>
      </c>
      <c r="M16" s="24">
        <f t="shared" si="11"/>
        <v>151.08249999999998</v>
      </c>
      <c r="N16" s="24">
        <f t="shared" si="3"/>
        <v>156.64124999999999</v>
      </c>
      <c r="O16" s="96">
        <f>ROI!E17</f>
        <v>9.9500000000000005E-2</v>
      </c>
      <c r="P16" s="24">
        <f t="shared" si="0"/>
        <v>15.59</v>
      </c>
      <c r="R16" s="24">
        <f t="shared" si="12"/>
        <v>207.75</v>
      </c>
      <c r="S16" s="24">
        <f t="shared" si="13"/>
        <v>8.9999999999999993E-3</v>
      </c>
      <c r="T16" s="24">
        <f t="shared" si="4"/>
        <v>207.75899999999999</v>
      </c>
      <c r="U16" s="97" t="e">
        <f>15.5%/(1-#REF!)</f>
        <v>#REF!</v>
      </c>
      <c r="V16" s="37" t="e">
        <f t="shared" si="5"/>
        <v>#REF!</v>
      </c>
      <c r="W16" s="37" t="e">
        <f t="shared" si="2"/>
        <v>#REF!</v>
      </c>
      <c r="X16" s="37" t="e">
        <f t="shared" si="6"/>
        <v>#REF!</v>
      </c>
      <c r="AA16" s="19"/>
      <c r="AB16" s="19"/>
    </row>
    <row r="17" spans="2:28" x14ac:dyDescent="0.25">
      <c r="B17" s="23">
        <v>14</v>
      </c>
      <c r="C17" s="10" t="s">
        <v>17</v>
      </c>
      <c r="D17" s="24">
        <f>GFA!G16</f>
        <v>1635.81</v>
      </c>
      <c r="E17" s="24">
        <f>GFA!H16</f>
        <v>8.43</v>
      </c>
      <c r="F17" s="24">
        <f>'Acc. Dep'!Q16</f>
        <v>611.43999999999994</v>
      </c>
      <c r="G17" s="24">
        <f>'Dep''n 23-27'!D18</f>
        <v>27.02</v>
      </c>
      <c r="H17" s="24">
        <f t="shared" si="7"/>
        <v>1024.3699999999999</v>
      </c>
      <c r="I17" s="24">
        <f t="shared" si="8"/>
        <v>1005.7800000000002</v>
      </c>
      <c r="K17" s="24">
        <f t="shared" si="9"/>
        <v>533.62699999999984</v>
      </c>
      <c r="L17" s="24">
        <f t="shared" si="10"/>
        <v>6.3224999999999998</v>
      </c>
      <c r="M17" s="24">
        <f t="shared" si="11"/>
        <v>512.92949999999985</v>
      </c>
      <c r="N17" s="24">
        <f t="shared" si="3"/>
        <v>523.27824999999984</v>
      </c>
      <c r="O17" s="96">
        <f>ROI!E18</f>
        <v>9.9500000000000005E-2</v>
      </c>
      <c r="P17" s="24">
        <f t="shared" si="0"/>
        <v>52.07</v>
      </c>
      <c r="R17" s="24">
        <f t="shared" si="12"/>
        <v>490.74299999999994</v>
      </c>
      <c r="S17" s="24">
        <f t="shared" si="13"/>
        <v>2.5289999999999999</v>
      </c>
      <c r="T17" s="24">
        <f t="shared" si="4"/>
        <v>493.27199999999993</v>
      </c>
      <c r="U17" s="97" t="e">
        <f>15.5%/(1-#REF!)</f>
        <v>#REF!</v>
      </c>
      <c r="V17" s="37" t="e">
        <f t="shared" si="5"/>
        <v>#REF!</v>
      </c>
      <c r="W17" s="37" t="e">
        <f t="shared" si="2"/>
        <v>#REF!</v>
      </c>
      <c r="X17" s="37" t="e">
        <f t="shared" si="6"/>
        <v>#REF!</v>
      </c>
      <c r="AA17" s="19"/>
      <c r="AB17" s="19"/>
    </row>
    <row r="18" spans="2:28" x14ac:dyDescent="0.25">
      <c r="B18" s="23">
        <v>15</v>
      </c>
      <c r="C18" s="10" t="s">
        <v>18</v>
      </c>
      <c r="D18" s="24">
        <f>GFA!G17</f>
        <v>440.76000000000005</v>
      </c>
      <c r="E18" s="24">
        <f>GFA!H17</f>
        <v>0</v>
      </c>
      <c r="F18" s="24">
        <f>'Acc. Dep'!Q17</f>
        <v>85.82</v>
      </c>
      <c r="G18" s="24">
        <f>'Dep''n 23-27'!D19</f>
        <v>9.14</v>
      </c>
      <c r="H18" s="24">
        <f t="shared" si="7"/>
        <v>354.94000000000005</v>
      </c>
      <c r="I18" s="24">
        <f t="shared" si="8"/>
        <v>345.80000000000007</v>
      </c>
      <c r="K18" s="24">
        <f>IF(D18*0.7-F18&lt;0,0,D18*0.7-F18)</f>
        <v>222.71200000000005</v>
      </c>
      <c r="L18" s="24">
        <f t="shared" si="10"/>
        <v>0</v>
      </c>
      <c r="M18" s="24">
        <f t="shared" si="11"/>
        <v>213.57200000000006</v>
      </c>
      <c r="N18" s="24">
        <f t="shared" si="3"/>
        <v>218.14200000000005</v>
      </c>
      <c r="O18" s="96">
        <f>ROI!E19</f>
        <v>0.1056</v>
      </c>
      <c r="P18" s="24">
        <f t="shared" si="0"/>
        <v>23.04</v>
      </c>
      <c r="R18" s="24">
        <f t="shared" si="12"/>
        <v>132.22800000000001</v>
      </c>
      <c r="S18" s="24">
        <f t="shared" si="13"/>
        <v>0</v>
      </c>
      <c r="T18" s="24">
        <f t="shared" si="4"/>
        <v>132.22800000000001</v>
      </c>
      <c r="U18" s="97" t="e">
        <f>16.5%/(1-#REF!)</f>
        <v>#REF!</v>
      </c>
      <c r="V18" s="37" t="e">
        <f t="shared" si="5"/>
        <v>#REF!</v>
      </c>
      <c r="W18" s="37" t="e">
        <f t="shared" si="2"/>
        <v>#REF!</v>
      </c>
      <c r="X18" s="37" t="e">
        <f t="shared" si="6"/>
        <v>#REF!</v>
      </c>
      <c r="AA18" s="19"/>
      <c r="AB18" s="19"/>
    </row>
    <row r="19" spans="2:28" x14ac:dyDescent="0.25">
      <c r="B19" s="21" t="s">
        <v>19</v>
      </c>
      <c r="C19" s="27"/>
      <c r="D19" s="28">
        <f t="shared" ref="D19:I19" si="14">SUM(D4:D18)</f>
        <v>32002.879999999997</v>
      </c>
      <c r="E19" s="28">
        <f t="shared" si="14"/>
        <v>143.80980587400001</v>
      </c>
      <c r="F19" s="28">
        <f t="shared" si="14"/>
        <v>14296.91</v>
      </c>
      <c r="G19" s="28">
        <f t="shared" si="14"/>
        <v>774.45999999999992</v>
      </c>
      <c r="H19" s="28">
        <f t="shared" si="14"/>
        <v>17705.969999999998</v>
      </c>
      <c r="I19" s="28">
        <f t="shared" si="14"/>
        <v>17075.319805873998</v>
      </c>
      <c r="K19" s="98">
        <f>SUM(K4:K18)</f>
        <v>8991.4439999999995</v>
      </c>
      <c r="L19" s="98">
        <f>SUM(L4:L18)</f>
        <v>107.8573544055</v>
      </c>
      <c r="M19" s="98">
        <f>SUM(M4:M18)</f>
        <v>8387.4138544054986</v>
      </c>
      <c r="N19" s="99">
        <f>SUM(N4:N18)</f>
        <v>8689.428927202749</v>
      </c>
      <c r="O19" s="96"/>
      <c r="P19" s="99">
        <f>SUM(P4:P18)</f>
        <v>872.2</v>
      </c>
      <c r="R19" s="100">
        <f>SUM(R4:R18)</f>
        <v>9562.739999999998</v>
      </c>
      <c r="S19" s="100">
        <f>SUM(S4:S18)</f>
        <v>43.142941762199996</v>
      </c>
      <c r="T19" s="100">
        <f>SUM(T4:T18)</f>
        <v>9605.8829417621964</v>
      </c>
      <c r="U19" s="101" t="s">
        <v>66</v>
      </c>
      <c r="V19" s="100" t="e">
        <f>SUM(V4:V18)</f>
        <v>#REF!</v>
      </c>
      <c r="W19" s="100" t="e">
        <f>SUM(W4:W18)</f>
        <v>#REF!</v>
      </c>
      <c r="X19" s="100" t="e">
        <f>SUM(X4:X18)</f>
        <v>#REF!</v>
      </c>
      <c r="AA19" s="19"/>
      <c r="AB19" s="19"/>
    </row>
    <row r="21" spans="2:28" x14ac:dyDescent="0.25">
      <c r="D21" s="171">
        <f>D18*0.7</f>
        <v>308.53200000000004</v>
      </c>
    </row>
    <row r="22" spans="2:28" x14ac:dyDescent="0.25">
      <c r="X22" s="19" t="s">
        <v>121</v>
      </c>
      <c r="Z22" s="95">
        <f>25.168%</f>
        <v>0.25168000000000001</v>
      </c>
      <c r="AA22" s="19"/>
      <c r="AB22" s="19"/>
    </row>
    <row r="23" spans="2:28" x14ac:dyDescent="0.25">
      <c r="C23" s="22" t="s">
        <v>137</v>
      </c>
      <c r="M23" s="479" t="s">
        <v>167</v>
      </c>
      <c r="N23" s="479"/>
      <c r="O23" s="479"/>
      <c r="P23" s="479"/>
      <c r="Q23" s="20"/>
      <c r="R23" s="20"/>
      <c r="T23" s="469" t="s">
        <v>125</v>
      </c>
      <c r="U23" s="470"/>
      <c r="V23" s="470"/>
      <c r="W23" s="470"/>
      <c r="X23" s="470"/>
      <c r="Y23" s="470"/>
      <c r="Z23" s="471"/>
      <c r="AA23" s="19"/>
      <c r="AB23" s="19"/>
    </row>
    <row r="24" spans="2:28" ht="61.5" customHeight="1" x14ac:dyDescent="0.25">
      <c r="B24" s="8" t="s">
        <v>1</v>
      </c>
      <c r="C24" s="30" t="s">
        <v>2</v>
      </c>
      <c r="D24" s="9" t="s">
        <v>130</v>
      </c>
      <c r="E24" s="9" t="s">
        <v>280</v>
      </c>
      <c r="F24" s="9" t="s">
        <v>155</v>
      </c>
      <c r="G24" s="9" t="s">
        <v>156</v>
      </c>
      <c r="H24" s="9" t="s">
        <v>157</v>
      </c>
      <c r="I24" s="9" t="s">
        <v>158</v>
      </c>
      <c r="K24" s="9" t="s">
        <v>84</v>
      </c>
      <c r="L24" s="9" t="s">
        <v>279</v>
      </c>
      <c r="M24" s="9" t="s">
        <v>118</v>
      </c>
      <c r="N24" s="9" t="s">
        <v>85</v>
      </c>
      <c r="O24" s="9" t="s">
        <v>86</v>
      </c>
      <c r="P24" s="9" t="s">
        <v>119</v>
      </c>
      <c r="R24" s="9" t="s">
        <v>123</v>
      </c>
      <c r="S24" s="9" t="s">
        <v>91</v>
      </c>
      <c r="T24" s="9" t="s">
        <v>92</v>
      </c>
      <c r="U24" s="9" t="s">
        <v>87</v>
      </c>
      <c r="V24" s="9" t="s">
        <v>124</v>
      </c>
      <c r="W24" s="9" t="s">
        <v>122</v>
      </c>
      <c r="X24" s="9" t="s">
        <v>88</v>
      </c>
      <c r="AA24" s="19"/>
      <c r="AB24" s="19"/>
    </row>
    <row r="25" spans="2:28" x14ac:dyDescent="0.25">
      <c r="B25" s="23">
        <v>1</v>
      </c>
      <c r="C25" s="10" t="s">
        <v>4</v>
      </c>
      <c r="D25" s="24">
        <f>GFA!G3</f>
        <v>2270.04</v>
      </c>
      <c r="E25" s="24">
        <f>GFA!J3</f>
        <v>0</v>
      </c>
      <c r="F25" s="24">
        <f>'Acc. Dep'!S3</f>
        <v>1931.4500000000003</v>
      </c>
      <c r="G25" s="24">
        <f>'Dep''n 23-27'!F5</f>
        <v>30.5</v>
      </c>
      <c r="H25" s="24">
        <f>D25-F25</f>
        <v>338.58999999999969</v>
      </c>
      <c r="I25" s="24">
        <f>D25+E25-F25-G25</f>
        <v>308.08999999999969</v>
      </c>
      <c r="K25" s="24">
        <f>M4</f>
        <v>0</v>
      </c>
      <c r="L25" s="24">
        <f>E25*0.75</f>
        <v>0</v>
      </c>
      <c r="M25" s="24">
        <f>IF(K25+L25-G25&lt;0,0,K25+L25-G25)</f>
        <v>0</v>
      </c>
      <c r="N25" s="24">
        <f>AVERAGE(K25,M25)</f>
        <v>0</v>
      </c>
      <c r="O25" s="96">
        <f>ROI!F5</f>
        <v>9.5500000000000002E-2</v>
      </c>
      <c r="P25" s="24">
        <f>ROUND(N25*O25,2)</f>
        <v>0</v>
      </c>
      <c r="R25" s="24">
        <f t="shared" ref="R25:R38" si="15">D25*0.3</f>
        <v>681.01199999999994</v>
      </c>
      <c r="S25" s="24" t="e">
        <f>#REF!*0.3</f>
        <v>#REF!</v>
      </c>
      <c r="T25" s="24" t="e">
        <f>R25+S25</f>
        <v>#REF!</v>
      </c>
      <c r="U25" s="97" t="e">
        <f>15.5%/(1-#REF!)</f>
        <v>#REF!</v>
      </c>
      <c r="V25" s="37" t="e">
        <f>R25*U25</f>
        <v>#REF!</v>
      </c>
      <c r="W25" s="37" t="e">
        <f t="shared" ref="W25:W38" si="16">AVERAGE(R25,T25)*U25-V25</f>
        <v>#REF!</v>
      </c>
      <c r="X25" s="37" t="e">
        <f>ROUND((V25+W25),2)</f>
        <v>#REF!</v>
      </c>
      <c r="AA25" s="19"/>
      <c r="AB25" s="19"/>
    </row>
    <row r="26" spans="2:28" x14ac:dyDescent="0.25">
      <c r="B26" s="23">
        <v>2</v>
      </c>
      <c r="C26" s="10" t="s">
        <v>5</v>
      </c>
      <c r="D26" s="24">
        <f>GFA!G4</f>
        <v>2473.23</v>
      </c>
      <c r="E26" s="24">
        <f>GFA!J4</f>
        <v>0.18</v>
      </c>
      <c r="F26" s="24">
        <f>'Acc. Dep'!S4</f>
        <v>1979.5600000000002</v>
      </c>
      <c r="G26" s="24">
        <f>'Dep''n 23-27'!F6</f>
        <v>22.63</v>
      </c>
      <c r="H26" s="24">
        <f>D26-F26</f>
        <v>493.66999999999985</v>
      </c>
      <c r="I26" s="24">
        <f>D26+E26-F26-G26</f>
        <v>471.21999999999969</v>
      </c>
      <c r="K26" s="24">
        <f>M5</f>
        <v>0</v>
      </c>
      <c r="L26" s="24">
        <f>E26*0.75</f>
        <v>0.13500000000000001</v>
      </c>
      <c r="M26" s="24">
        <f t="shared" ref="M26:M38" si="17">IF(K26+L26-G26&lt;0,0,K26+L26-G26)</f>
        <v>0</v>
      </c>
      <c r="N26" s="24">
        <f t="shared" ref="N26:N38" si="18">AVERAGE(K26,M26)</f>
        <v>0</v>
      </c>
      <c r="O26" s="96">
        <f>ROI!F6</f>
        <v>0.1033</v>
      </c>
      <c r="P26" s="24">
        <f t="shared" ref="P26:P38" si="19">ROUND(N26*O26,2)</f>
        <v>0</v>
      </c>
      <c r="R26" s="24">
        <f t="shared" si="15"/>
        <v>741.96899999999994</v>
      </c>
      <c r="S26" s="24" t="e">
        <f>#REF!*0.3</f>
        <v>#REF!</v>
      </c>
      <c r="T26" s="24" t="e">
        <f t="shared" ref="T26:T38" si="20">R26+S26</f>
        <v>#REF!</v>
      </c>
      <c r="U26" s="97" t="e">
        <f>15.5%/(1-#REF!)</f>
        <v>#REF!</v>
      </c>
      <c r="V26" s="37" t="e">
        <f t="shared" ref="V26:V38" si="21">R26*U26</f>
        <v>#REF!</v>
      </c>
      <c r="W26" s="37" t="e">
        <f t="shared" si="16"/>
        <v>#REF!</v>
      </c>
      <c r="X26" s="37" t="e">
        <f t="shared" ref="X26:X38" si="22">ROUND((V26+W26),2)</f>
        <v>#REF!</v>
      </c>
      <c r="AA26" s="19"/>
      <c r="AB26" s="19"/>
    </row>
    <row r="27" spans="2:28" x14ac:dyDescent="0.25">
      <c r="B27" s="23">
        <v>3</v>
      </c>
      <c r="C27" s="10" t="s">
        <v>6</v>
      </c>
      <c r="D27" s="24">
        <f>GFA!G5</f>
        <v>5109.13</v>
      </c>
      <c r="E27" s="24">
        <f>GFA!J5</f>
        <v>0</v>
      </c>
      <c r="F27" s="24">
        <f>'Acc. Dep'!S5</f>
        <v>1454.51</v>
      </c>
      <c r="G27" s="24">
        <f>'Dep''n 23-27'!F7</f>
        <v>174.82</v>
      </c>
      <c r="H27" s="24">
        <f>D27-F27</f>
        <v>3654.62</v>
      </c>
      <c r="I27" s="24">
        <f>D27+E27-F27-G27</f>
        <v>3479.7999999999997</v>
      </c>
      <c r="K27" s="24">
        <f>M6</f>
        <v>2124.4610000000002</v>
      </c>
      <c r="L27" s="24">
        <f>E27*0.75</f>
        <v>0</v>
      </c>
      <c r="M27" s="24">
        <f t="shared" si="17"/>
        <v>1949.6410000000003</v>
      </c>
      <c r="N27" s="24">
        <f t="shared" si="18"/>
        <v>2037.0510000000004</v>
      </c>
      <c r="O27" s="96">
        <f>ROI!F7</f>
        <v>0.1007</v>
      </c>
      <c r="P27" s="24">
        <f t="shared" si="19"/>
        <v>205.13</v>
      </c>
      <c r="R27" s="24">
        <f t="shared" si="15"/>
        <v>1532.739</v>
      </c>
      <c r="S27" s="24" t="e">
        <f>#REF!*0.3</f>
        <v>#REF!</v>
      </c>
      <c r="T27" s="24" t="e">
        <f t="shared" si="20"/>
        <v>#REF!</v>
      </c>
      <c r="U27" s="97" t="e">
        <f>15.5%/(1-#REF!)</f>
        <v>#REF!</v>
      </c>
      <c r="V27" s="37" t="e">
        <f t="shared" si="21"/>
        <v>#REF!</v>
      </c>
      <c r="W27" s="37" t="e">
        <f t="shared" si="16"/>
        <v>#REF!</v>
      </c>
      <c r="X27" s="37" t="e">
        <f t="shared" si="22"/>
        <v>#REF!</v>
      </c>
      <c r="AA27" s="19"/>
      <c r="AB27" s="19"/>
    </row>
    <row r="28" spans="2:28" x14ac:dyDescent="0.25">
      <c r="B28" s="23">
        <v>4</v>
      </c>
      <c r="C28" s="10" t="s">
        <v>8</v>
      </c>
      <c r="D28" s="24">
        <f>GFA!G7</f>
        <v>2548.9699999999998</v>
      </c>
      <c r="E28" s="24">
        <f>GFA!J7</f>
        <v>8.32</v>
      </c>
      <c r="F28" s="24">
        <f>'Acc. Dep'!S7</f>
        <v>2119.16</v>
      </c>
      <c r="G28" s="24">
        <f>'Dep''n 23-27'!F9</f>
        <v>17.89</v>
      </c>
      <c r="H28" s="24"/>
      <c r="I28" s="24"/>
      <c r="K28" s="24">
        <f t="shared" ref="K28:K38" si="23">M8</f>
        <v>0</v>
      </c>
      <c r="L28" s="24">
        <f>E28*0.75</f>
        <v>6.24</v>
      </c>
      <c r="M28" s="24">
        <f t="shared" si="17"/>
        <v>0</v>
      </c>
      <c r="N28" s="24">
        <f t="shared" si="18"/>
        <v>0</v>
      </c>
      <c r="O28" s="96">
        <f>ROI!F9</f>
        <v>9.9500000000000005E-2</v>
      </c>
      <c r="P28" s="24">
        <f t="shared" si="19"/>
        <v>0</v>
      </c>
      <c r="R28" s="24">
        <f t="shared" si="15"/>
        <v>764.69099999999992</v>
      </c>
      <c r="S28" s="24" t="e">
        <f>#REF!*0.3</f>
        <v>#REF!</v>
      </c>
      <c r="T28" s="24" t="e">
        <f t="shared" si="20"/>
        <v>#REF!</v>
      </c>
      <c r="U28" s="97" t="e">
        <f>15.5%/(1-#REF!)</f>
        <v>#REF!</v>
      </c>
      <c r="V28" s="37" t="e">
        <f t="shared" si="21"/>
        <v>#REF!</v>
      </c>
      <c r="W28" s="37" t="e">
        <f t="shared" si="16"/>
        <v>#REF!</v>
      </c>
      <c r="X28" s="37" t="e">
        <f t="shared" si="22"/>
        <v>#REF!</v>
      </c>
      <c r="AA28" s="19"/>
      <c r="AB28" s="19"/>
    </row>
    <row r="29" spans="2:28" x14ac:dyDescent="0.25">
      <c r="B29" s="23">
        <v>5</v>
      </c>
      <c r="C29" s="10" t="s">
        <v>9</v>
      </c>
      <c r="D29" s="24">
        <f>GFA!G8</f>
        <v>3769.46</v>
      </c>
      <c r="E29" s="24">
        <f>GFA!J8</f>
        <v>5.2</v>
      </c>
      <c r="F29" s="24">
        <f>'Acc. Dep'!S8</f>
        <v>1584.23</v>
      </c>
      <c r="G29" s="24">
        <f>'Dep''n 23-27'!F10</f>
        <v>113.37</v>
      </c>
      <c r="H29" s="24">
        <f t="shared" ref="H29:H39" si="24">D29-F29</f>
        <v>2185.23</v>
      </c>
      <c r="I29" s="24">
        <f t="shared" ref="I29:I39" si="25">D29+E29-F29-G29</f>
        <v>2077.06</v>
      </c>
      <c r="K29" s="24">
        <f t="shared" si="23"/>
        <v>1057.0993544055</v>
      </c>
      <c r="L29" s="24">
        <f>E29*75%</f>
        <v>3.9000000000000004</v>
      </c>
      <c r="M29" s="24">
        <f t="shared" si="17"/>
        <v>947.62935440550007</v>
      </c>
      <c r="N29" s="24">
        <f t="shared" si="18"/>
        <v>1002.3643544055001</v>
      </c>
      <c r="O29" s="96">
        <f>ROI!F10</f>
        <v>0.10299999999999999</v>
      </c>
      <c r="P29" s="24">
        <f t="shared" si="19"/>
        <v>103.24</v>
      </c>
      <c r="R29" s="24">
        <f t="shared" si="15"/>
        <v>1130.838</v>
      </c>
      <c r="S29" s="24" t="e">
        <f>#REF!*0.3</f>
        <v>#REF!</v>
      </c>
      <c r="T29" s="24" t="e">
        <f t="shared" si="20"/>
        <v>#REF!</v>
      </c>
      <c r="U29" s="97" t="e">
        <f>15.5%/(1-#REF!)</f>
        <v>#REF!</v>
      </c>
      <c r="V29" s="37" t="e">
        <f t="shared" si="21"/>
        <v>#REF!</v>
      </c>
      <c r="W29" s="37" t="e">
        <f t="shared" si="16"/>
        <v>#REF!</v>
      </c>
      <c r="X29" s="37" t="e">
        <f t="shared" si="22"/>
        <v>#REF!</v>
      </c>
      <c r="AA29" s="19"/>
      <c r="AB29" s="19"/>
    </row>
    <row r="30" spans="2:28" x14ac:dyDescent="0.25">
      <c r="B30" s="23">
        <v>6</v>
      </c>
      <c r="C30" s="10" t="s">
        <v>10</v>
      </c>
      <c r="D30" s="24">
        <f>GFA!G9</f>
        <v>7445.28</v>
      </c>
      <c r="E30" s="24">
        <f>GFA!J9</f>
        <v>39.22</v>
      </c>
      <c r="F30" s="24">
        <f>'Acc. Dep'!S9</f>
        <v>1377.1000000000001</v>
      </c>
      <c r="G30" s="24">
        <f>'Dep''n 23-27'!F11</f>
        <v>247.98</v>
      </c>
      <c r="H30" s="24">
        <f t="shared" si="24"/>
        <v>6068.1799999999994</v>
      </c>
      <c r="I30" s="24">
        <f t="shared" si="25"/>
        <v>5859.42</v>
      </c>
      <c r="K30" s="24">
        <f t="shared" si="23"/>
        <v>3905.8909999999996</v>
      </c>
      <c r="L30" s="24">
        <f>E30*75%</f>
        <v>29.414999999999999</v>
      </c>
      <c r="M30" s="24">
        <f t="shared" si="17"/>
        <v>3687.3259999999996</v>
      </c>
      <c r="N30" s="24">
        <f t="shared" si="18"/>
        <v>3796.6084999999994</v>
      </c>
      <c r="O30" s="96">
        <f>ROI!F11</f>
        <v>0.1019</v>
      </c>
      <c r="P30" s="24">
        <f t="shared" si="19"/>
        <v>386.87</v>
      </c>
      <c r="R30" s="24">
        <f t="shared" si="15"/>
        <v>2233.5839999999998</v>
      </c>
      <c r="S30" s="24" t="e">
        <f>#REF!*0.3</f>
        <v>#REF!</v>
      </c>
      <c r="T30" s="24" t="e">
        <f t="shared" si="20"/>
        <v>#REF!</v>
      </c>
      <c r="U30" s="97" t="e">
        <f>15.5%/(1-#REF!)</f>
        <v>#REF!</v>
      </c>
      <c r="V30" s="37" t="e">
        <f t="shared" si="21"/>
        <v>#REF!</v>
      </c>
      <c r="W30" s="37" t="e">
        <f t="shared" si="16"/>
        <v>#REF!</v>
      </c>
      <c r="X30" s="37" t="e">
        <f t="shared" si="22"/>
        <v>#REF!</v>
      </c>
      <c r="AA30" s="19"/>
      <c r="AB30" s="19"/>
    </row>
    <row r="31" spans="2:28" s="189" customFormat="1" x14ac:dyDescent="0.25">
      <c r="B31" s="182">
        <v>7</v>
      </c>
      <c r="C31" s="183" t="s">
        <v>11</v>
      </c>
      <c r="D31" s="184">
        <f>GFA!G10</f>
        <v>1923.46</v>
      </c>
      <c r="E31" s="184">
        <f>GFA!J10</f>
        <v>0</v>
      </c>
      <c r="F31" s="184">
        <f>'Acc. Dep'!S10</f>
        <v>1319.72</v>
      </c>
      <c r="G31" s="184">
        <f>'Dep''n 23-27'!F12</f>
        <v>59.08</v>
      </c>
      <c r="H31" s="184">
        <f t="shared" si="24"/>
        <v>603.74</v>
      </c>
      <c r="I31" s="184">
        <f t="shared" si="25"/>
        <v>544.66</v>
      </c>
      <c r="K31" s="184">
        <f t="shared" si="23"/>
        <v>28.479499999999916</v>
      </c>
      <c r="L31" s="184">
        <f t="shared" ref="L31:L38" si="26">E31*0.75</f>
        <v>0</v>
      </c>
      <c r="M31" s="184">
        <f t="shared" si="17"/>
        <v>0</v>
      </c>
      <c r="N31" s="184">
        <f t="shared" si="18"/>
        <v>14.239749999999958</v>
      </c>
      <c r="O31" s="190">
        <f>ROI!F12</f>
        <v>0.10199999999999999</v>
      </c>
      <c r="P31" s="184">
        <f t="shared" si="19"/>
        <v>1.45</v>
      </c>
      <c r="R31" s="184">
        <f t="shared" si="15"/>
        <v>577.03800000000001</v>
      </c>
      <c r="S31" s="184" t="e">
        <f>#REF!*0.3</f>
        <v>#REF!</v>
      </c>
      <c r="T31" s="184" t="e">
        <f t="shared" si="20"/>
        <v>#REF!</v>
      </c>
      <c r="U31" s="191" t="e">
        <f>16.5%/(1-#REF!)</f>
        <v>#REF!</v>
      </c>
      <c r="V31" s="192" t="e">
        <f t="shared" si="21"/>
        <v>#REF!</v>
      </c>
      <c r="W31" s="192" t="e">
        <f t="shared" si="16"/>
        <v>#REF!</v>
      </c>
      <c r="X31" s="192" t="e">
        <f t="shared" si="22"/>
        <v>#REF!</v>
      </c>
    </row>
    <row r="32" spans="2:28" x14ac:dyDescent="0.25">
      <c r="B32" s="23">
        <v>8</v>
      </c>
      <c r="C32" s="10" t="s">
        <v>12</v>
      </c>
      <c r="D32" s="24">
        <f>GFA!G11</f>
        <v>3384.21</v>
      </c>
      <c r="E32" s="24">
        <f>GFA!J11</f>
        <v>0</v>
      </c>
      <c r="F32" s="24">
        <f>'Acc. Dep'!S11</f>
        <v>1996.0500000000006</v>
      </c>
      <c r="G32" s="24">
        <f>'Dep''n 23-27'!F13</f>
        <v>59.13</v>
      </c>
      <c r="H32" s="24">
        <f t="shared" si="24"/>
        <v>1388.1599999999994</v>
      </c>
      <c r="I32" s="24">
        <f t="shared" si="25"/>
        <v>1329.0299999999993</v>
      </c>
      <c r="K32" s="24">
        <f t="shared" si="23"/>
        <v>385.06199999999899</v>
      </c>
      <c r="L32" s="24">
        <f t="shared" si="26"/>
        <v>0</v>
      </c>
      <c r="M32" s="24">
        <f t="shared" si="17"/>
        <v>325.93199999999899</v>
      </c>
      <c r="N32" s="24">
        <f t="shared" si="18"/>
        <v>355.49699999999899</v>
      </c>
      <c r="O32" s="96">
        <f>ROI!F13</f>
        <v>0.10150000000000001</v>
      </c>
      <c r="P32" s="24">
        <f t="shared" si="19"/>
        <v>36.08</v>
      </c>
      <c r="R32" s="24">
        <f t="shared" si="15"/>
        <v>1015.2629999999999</v>
      </c>
      <c r="S32" s="24" t="e">
        <f>#REF!*0.3</f>
        <v>#REF!</v>
      </c>
      <c r="T32" s="24" t="e">
        <f t="shared" si="20"/>
        <v>#REF!</v>
      </c>
      <c r="U32" s="97" t="e">
        <f>16.5%/(1-#REF!)</f>
        <v>#REF!</v>
      </c>
      <c r="V32" s="37" t="e">
        <f t="shared" si="21"/>
        <v>#REF!</v>
      </c>
      <c r="W32" s="37" t="e">
        <f t="shared" si="16"/>
        <v>#REF!</v>
      </c>
      <c r="X32" s="37" t="e">
        <f t="shared" si="22"/>
        <v>#REF!</v>
      </c>
      <c r="AA32" s="19"/>
      <c r="AB32" s="19"/>
    </row>
    <row r="33" spans="2:28" x14ac:dyDescent="0.25">
      <c r="B33" s="23">
        <v>9</v>
      </c>
      <c r="C33" s="10" t="s">
        <v>13</v>
      </c>
      <c r="D33" s="24">
        <f>GFA!G12</f>
        <v>121.94</v>
      </c>
      <c r="E33" s="24">
        <f>GFA!J12</f>
        <v>0</v>
      </c>
      <c r="F33" s="24">
        <f>'Acc. Dep'!S12</f>
        <v>94.240000000000009</v>
      </c>
      <c r="G33" s="24">
        <f>'Dep''n 23-27'!F14</f>
        <v>1.04</v>
      </c>
      <c r="H33" s="24">
        <f t="shared" si="24"/>
        <v>27.699999999999989</v>
      </c>
      <c r="I33" s="24">
        <f t="shared" si="25"/>
        <v>26.659999999999989</v>
      </c>
      <c r="K33" s="24">
        <f t="shared" si="23"/>
        <v>0</v>
      </c>
      <c r="L33" s="24">
        <f t="shared" si="26"/>
        <v>0</v>
      </c>
      <c r="M33" s="24">
        <f t="shared" si="17"/>
        <v>0</v>
      </c>
      <c r="N33" s="24">
        <f t="shared" si="18"/>
        <v>0</v>
      </c>
      <c r="O33" s="96">
        <f>ROI!F14</f>
        <v>0.125</v>
      </c>
      <c r="P33" s="24">
        <f t="shared" si="19"/>
        <v>0</v>
      </c>
      <c r="R33" s="24">
        <f t="shared" si="15"/>
        <v>36.582000000000001</v>
      </c>
      <c r="S33" s="24" t="e">
        <f>#REF!*0.3</f>
        <v>#REF!</v>
      </c>
      <c r="T33" s="24" t="e">
        <f t="shared" si="20"/>
        <v>#REF!</v>
      </c>
      <c r="U33" s="97" t="e">
        <f>16.5%/(1-#REF!)</f>
        <v>#REF!</v>
      </c>
      <c r="V33" s="37" t="e">
        <f t="shared" si="21"/>
        <v>#REF!</v>
      </c>
      <c r="W33" s="37" t="e">
        <f t="shared" si="16"/>
        <v>#REF!</v>
      </c>
      <c r="X33" s="37" t="e">
        <f t="shared" si="22"/>
        <v>#REF!</v>
      </c>
      <c r="AA33" s="19"/>
      <c r="AB33" s="19"/>
    </row>
    <row r="34" spans="2:28" x14ac:dyDescent="0.25">
      <c r="B34" s="23">
        <v>10</v>
      </c>
      <c r="C34" s="10" t="s">
        <v>14</v>
      </c>
      <c r="D34" s="24">
        <f>GFA!G13</f>
        <v>31.27</v>
      </c>
      <c r="E34" s="24">
        <f>GFA!J13</f>
        <v>0</v>
      </c>
      <c r="F34" s="24">
        <f>'Acc. Dep'!S13</f>
        <v>21.599999999999994</v>
      </c>
      <c r="G34" s="24">
        <f>'Dep''n 23-27'!F15</f>
        <v>0.34</v>
      </c>
      <c r="H34" s="24">
        <f t="shared" si="24"/>
        <v>9.6700000000000053</v>
      </c>
      <c r="I34" s="24">
        <f t="shared" si="25"/>
        <v>9.3300000000000054</v>
      </c>
      <c r="K34" s="24">
        <f t="shared" si="23"/>
        <v>0.28900000000000503</v>
      </c>
      <c r="L34" s="24">
        <f t="shared" si="26"/>
        <v>0</v>
      </c>
      <c r="M34" s="24">
        <f t="shared" si="17"/>
        <v>0</v>
      </c>
      <c r="N34" s="24">
        <f t="shared" si="18"/>
        <v>0.14450000000000252</v>
      </c>
      <c r="O34" s="96">
        <f>ROI!F15</f>
        <v>0.125</v>
      </c>
      <c r="P34" s="24">
        <f t="shared" si="19"/>
        <v>0.02</v>
      </c>
      <c r="R34" s="24">
        <f t="shared" si="15"/>
        <v>9.3810000000000002</v>
      </c>
      <c r="S34" s="24" t="e">
        <f>#REF!*0.3</f>
        <v>#REF!</v>
      </c>
      <c r="T34" s="24" t="e">
        <f t="shared" si="20"/>
        <v>#REF!</v>
      </c>
      <c r="U34" s="97" t="e">
        <f>15.5%/(1-#REF!)</f>
        <v>#REF!</v>
      </c>
      <c r="V34" s="37" t="e">
        <f t="shared" si="21"/>
        <v>#REF!</v>
      </c>
      <c r="W34" s="37" t="e">
        <f t="shared" si="16"/>
        <v>#REF!</v>
      </c>
      <c r="X34" s="37" t="e">
        <f t="shared" si="22"/>
        <v>#REF!</v>
      </c>
      <c r="AA34" s="19"/>
      <c r="AB34" s="19"/>
    </row>
    <row r="35" spans="2:28" s="189" customFormat="1" x14ac:dyDescent="0.25">
      <c r="B35" s="182">
        <v>11</v>
      </c>
      <c r="C35" s="183" t="s">
        <v>15</v>
      </c>
      <c r="D35" s="184">
        <f>GFA!G14</f>
        <v>29.74</v>
      </c>
      <c r="E35" s="184">
        <f>GFA!J14</f>
        <v>0</v>
      </c>
      <c r="F35" s="184">
        <f>'Acc. Dep'!S14</f>
        <v>12.270000000000003</v>
      </c>
      <c r="G35" s="184">
        <f>'Dep''n 23-27'!F16</f>
        <v>0.57999999999999996</v>
      </c>
      <c r="H35" s="184">
        <f t="shared" si="24"/>
        <v>17.469999999999995</v>
      </c>
      <c r="I35" s="184">
        <f t="shared" si="25"/>
        <v>16.889999999999997</v>
      </c>
      <c r="K35" s="184">
        <f t="shared" si="23"/>
        <v>8.5479999999999947</v>
      </c>
      <c r="L35" s="184">
        <f t="shared" si="26"/>
        <v>0</v>
      </c>
      <c r="M35" s="184">
        <f t="shared" si="17"/>
        <v>7.9679999999999946</v>
      </c>
      <c r="N35" s="184">
        <f t="shared" si="18"/>
        <v>8.2579999999999956</v>
      </c>
      <c r="O35" s="190">
        <f>ROI!F16</f>
        <v>0.10100000000000001</v>
      </c>
      <c r="P35" s="184">
        <f t="shared" si="19"/>
        <v>0.83</v>
      </c>
      <c r="R35" s="184">
        <f t="shared" si="15"/>
        <v>8.9219999999999988</v>
      </c>
      <c r="S35" s="184" t="e">
        <f>#REF!*0.3</f>
        <v>#REF!</v>
      </c>
      <c r="T35" s="184" t="e">
        <f t="shared" si="20"/>
        <v>#REF!</v>
      </c>
      <c r="U35" s="191" t="e">
        <f>16.5%/(1-#REF!)</f>
        <v>#REF!</v>
      </c>
      <c r="V35" s="192" t="e">
        <f t="shared" si="21"/>
        <v>#REF!</v>
      </c>
      <c r="W35" s="192" t="e">
        <f t="shared" si="16"/>
        <v>#REF!</v>
      </c>
      <c r="X35" s="192" t="e">
        <f t="shared" si="22"/>
        <v>#REF!</v>
      </c>
    </row>
    <row r="36" spans="2:28" x14ac:dyDescent="0.25">
      <c r="B36" s="23">
        <v>12</v>
      </c>
      <c r="C36" s="10" t="s">
        <v>16</v>
      </c>
      <c r="D36" s="24">
        <f>GFA!G15</f>
        <v>692.5</v>
      </c>
      <c r="E36" s="24">
        <f>GFA!J15</f>
        <v>0</v>
      </c>
      <c r="F36" s="24">
        <f>'Acc. Dep'!S15</f>
        <v>333.68999999999994</v>
      </c>
      <c r="G36" s="24">
        <f>'Dep''n 23-27'!F17</f>
        <v>11.14</v>
      </c>
      <c r="H36" s="24">
        <f t="shared" si="24"/>
        <v>358.81000000000006</v>
      </c>
      <c r="I36" s="24">
        <f t="shared" si="25"/>
        <v>347.67000000000007</v>
      </c>
      <c r="K36" s="24">
        <f t="shared" si="23"/>
        <v>151.08249999999998</v>
      </c>
      <c r="L36" s="24">
        <f t="shared" si="26"/>
        <v>0</v>
      </c>
      <c r="M36" s="24">
        <f t="shared" si="17"/>
        <v>139.9425</v>
      </c>
      <c r="N36" s="24">
        <f t="shared" si="18"/>
        <v>145.51249999999999</v>
      </c>
      <c r="O36" s="96">
        <f>ROI!F17</f>
        <v>9.9500000000000005E-2</v>
      </c>
      <c r="P36" s="24">
        <f t="shared" si="19"/>
        <v>14.48</v>
      </c>
      <c r="R36" s="24">
        <f t="shared" si="15"/>
        <v>207.75</v>
      </c>
      <c r="S36" s="24" t="e">
        <f>#REF!*0.3</f>
        <v>#REF!</v>
      </c>
      <c r="T36" s="24" t="e">
        <f t="shared" si="20"/>
        <v>#REF!</v>
      </c>
      <c r="U36" s="97" t="e">
        <f>15.5%/(1-#REF!)</f>
        <v>#REF!</v>
      </c>
      <c r="V36" s="37" t="e">
        <f t="shared" si="21"/>
        <v>#REF!</v>
      </c>
      <c r="W36" s="37" t="e">
        <f t="shared" si="16"/>
        <v>#REF!</v>
      </c>
      <c r="X36" s="37" t="e">
        <f t="shared" si="22"/>
        <v>#REF!</v>
      </c>
      <c r="AA36" s="19"/>
      <c r="AB36" s="19"/>
    </row>
    <row r="37" spans="2:28" x14ac:dyDescent="0.25">
      <c r="B37" s="23">
        <v>13</v>
      </c>
      <c r="C37" s="10" t="s">
        <v>17</v>
      </c>
      <c r="D37" s="24">
        <f>GFA!G16</f>
        <v>1635.81</v>
      </c>
      <c r="E37" s="24">
        <f>GFA!J16</f>
        <v>0</v>
      </c>
      <c r="F37" s="24">
        <f>'Acc. Dep'!S16</f>
        <v>638.45999999999992</v>
      </c>
      <c r="G37" s="24">
        <f>'Dep''n 23-27'!F18</f>
        <v>27.14</v>
      </c>
      <c r="H37" s="24">
        <f t="shared" si="24"/>
        <v>997.35</v>
      </c>
      <c r="I37" s="24">
        <f t="shared" si="25"/>
        <v>970.21</v>
      </c>
      <c r="K37" s="24">
        <f t="shared" si="23"/>
        <v>512.92949999999985</v>
      </c>
      <c r="L37" s="24">
        <f t="shared" si="26"/>
        <v>0</v>
      </c>
      <c r="M37" s="24">
        <f t="shared" si="17"/>
        <v>485.78949999999986</v>
      </c>
      <c r="N37" s="24">
        <f t="shared" si="18"/>
        <v>499.35949999999985</v>
      </c>
      <c r="O37" s="96">
        <f>ROI!F18</f>
        <v>0.10199999999999999</v>
      </c>
      <c r="P37" s="24">
        <f t="shared" si="19"/>
        <v>50.93</v>
      </c>
      <c r="R37" s="24">
        <f t="shared" si="15"/>
        <v>490.74299999999994</v>
      </c>
      <c r="S37" s="24" t="e">
        <f>#REF!*0.3</f>
        <v>#REF!</v>
      </c>
      <c r="T37" s="24" t="e">
        <f t="shared" si="20"/>
        <v>#REF!</v>
      </c>
      <c r="U37" s="97" t="e">
        <f>15.5%/(1-#REF!)</f>
        <v>#REF!</v>
      </c>
      <c r="V37" s="37" t="e">
        <f t="shared" si="21"/>
        <v>#REF!</v>
      </c>
      <c r="W37" s="37" t="e">
        <f t="shared" si="16"/>
        <v>#REF!</v>
      </c>
      <c r="X37" s="37" t="e">
        <f t="shared" si="22"/>
        <v>#REF!</v>
      </c>
      <c r="AA37" s="19"/>
      <c r="AB37" s="19"/>
    </row>
    <row r="38" spans="2:28" x14ac:dyDescent="0.25">
      <c r="B38" s="23">
        <v>14</v>
      </c>
      <c r="C38" s="10" t="s">
        <v>18</v>
      </c>
      <c r="D38" s="24">
        <f>GFA!G17</f>
        <v>440.76000000000005</v>
      </c>
      <c r="E38" s="24">
        <f>GFA!J17</f>
        <v>0</v>
      </c>
      <c r="F38" s="24">
        <f>'Acc. Dep'!S17</f>
        <v>94.96</v>
      </c>
      <c r="G38" s="24">
        <f>'Dep''n 23-27'!F19</f>
        <v>9.14</v>
      </c>
      <c r="H38" s="24">
        <f t="shared" si="24"/>
        <v>345.80000000000007</v>
      </c>
      <c r="I38" s="24">
        <f t="shared" si="25"/>
        <v>336.66000000000008</v>
      </c>
      <c r="K38" s="24">
        <f t="shared" si="23"/>
        <v>213.57200000000006</v>
      </c>
      <c r="L38" s="24">
        <f t="shared" si="26"/>
        <v>0</v>
      </c>
      <c r="M38" s="24">
        <f t="shared" si="17"/>
        <v>204.43200000000007</v>
      </c>
      <c r="N38" s="24">
        <f t="shared" si="18"/>
        <v>209.00200000000007</v>
      </c>
      <c r="O38" s="96">
        <f>ROI!F19</f>
        <v>0.1056</v>
      </c>
      <c r="P38" s="24">
        <f t="shared" si="19"/>
        <v>22.07</v>
      </c>
      <c r="R38" s="24">
        <f t="shared" si="15"/>
        <v>132.22800000000001</v>
      </c>
      <c r="S38" s="24" t="e">
        <f>#REF!*0.3</f>
        <v>#REF!</v>
      </c>
      <c r="T38" s="24" t="e">
        <f t="shared" si="20"/>
        <v>#REF!</v>
      </c>
      <c r="U38" s="97" t="e">
        <f>16.5%/(1-#REF!)</f>
        <v>#REF!</v>
      </c>
      <c r="V38" s="37" t="e">
        <f t="shared" si="21"/>
        <v>#REF!</v>
      </c>
      <c r="W38" s="37" t="e">
        <f t="shared" si="16"/>
        <v>#REF!</v>
      </c>
      <c r="X38" s="37" t="e">
        <f t="shared" si="22"/>
        <v>#REF!</v>
      </c>
      <c r="AA38" s="19"/>
      <c r="AB38" s="19"/>
    </row>
    <row r="39" spans="2:28" x14ac:dyDescent="0.25">
      <c r="C39" s="21" t="s">
        <v>19</v>
      </c>
      <c r="D39" s="100">
        <f>SUM(D25:D38)</f>
        <v>31875.8</v>
      </c>
      <c r="E39" s="28">
        <f>SUM(E25:E38)</f>
        <v>52.92</v>
      </c>
      <c r="F39" s="28">
        <f>SUM(F25:F38)</f>
        <v>14957</v>
      </c>
      <c r="G39" s="28">
        <f>SUM(G25:G38)</f>
        <v>774.78</v>
      </c>
      <c r="H39" s="28">
        <f t="shared" si="24"/>
        <v>16918.8</v>
      </c>
      <c r="I39" s="28">
        <f t="shared" si="25"/>
        <v>16196.939999999997</v>
      </c>
      <c r="K39" s="98">
        <f>SUM(K25:K38)</f>
        <v>8387.4138544054986</v>
      </c>
      <c r="L39" s="98">
        <f>SUM(L25:L38)</f>
        <v>39.69</v>
      </c>
      <c r="M39" s="98">
        <f>SUM(M25:M38)</f>
        <v>7748.6603544054979</v>
      </c>
      <c r="N39" s="99">
        <f>SUM(N25:N38)</f>
        <v>8068.0371044054991</v>
      </c>
      <c r="O39" s="96"/>
      <c r="P39" s="99">
        <f>SUM(P25:P38)</f>
        <v>821.10000000000014</v>
      </c>
      <c r="R39" s="100">
        <f>SUM(R25:R38)</f>
        <v>9562.739999999998</v>
      </c>
      <c r="S39" s="100" t="e">
        <f>SUM(S25:S38)</f>
        <v>#REF!</v>
      </c>
      <c r="T39" s="100" t="e">
        <f>SUM(T25:T38)</f>
        <v>#REF!</v>
      </c>
      <c r="U39" s="101" t="s">
        <v>66</v>
      </c>
      <c r="V39" s="100" t="e">
        <f>SUM(V25:V38)</f>
        <v>#REF!</v>
      </c>
      <c r="W39" s="100" t="e">
        <f>SUM(W25:W38)</f>
        <v>#REF!</v>
      </c>
      <c r="X39" s="100" t="e">
        <f>SUM(X25:X38)</f>
        <v>#REF!</v>
      </c>
      <c r="AA39" s="19"/>
      <c r="AB39" s="19"/>
    </row>
    <row r="40" spans="2:28" x14ac:dyDescent="0.25">
      <c r="X40" s="19" t="s">
        <v>121</v>
      </c>
      <c r="Z40" s="95">
        <f>25.168%</f>
        <v>0.25168000000000001</v>
      </c>
      <c r="AA40" s="19"/>
      <c r="AB40" s="19"/>
    </row>
    <row r="41" spans="2:28" x14ac:dyDescent="0.25">
      <c r="Z41" s="95"/>
      <c r="AA41" s="19"/>
      <c r="AB41" s="19"/>
    </row>
    <row r="42" spans="2:28" x14ac:dyDescent="0.25">
      <c r="C42" s="22" t="s">
        <v>138</v>
      </c>
      <c r="M42" s="479" t="s">
        <v>282</v>
      </c>
      <c r="N42" s="479"/>
      <c r="O42" s="479"/>
      <c r="P42" s="479"/>
      <c r="Q42" s="20"/>
      <c r="R42" s="20"/>
      <c r="T42" s="469" t="s">
        <v>125</v>
      </c>
      <c r="U42" s="470"/>
      <c r="V42" s="470"/>
      <c r="W42" s="470"/>
      <c r="X42" s="470"/>
      <c r="Y42" s="470"/>
      <c r="Z42" s="471"/>
      <c r="AA42" s="19"/>
      <c r="AB42" s="19"/>
    </row>
    <row r="43" spans="2:28" ht="61.5" customHeight="1" x14ac:dyDescent="0.25">
      <c r="B43" s="8" t="s">
        <v>1</v>
      </c>
      <c r="C43" s="30" t="s">
        <v>2</v>
      </c>
      <c r="D43" s="9" t="s">
        <v>130</v>
      </c>
      <c r="E43" s="9" t="s">
        <v>281</v>
      </c>
      <c r="F43" s="9" t="s">
        <v>161</v>
      </c>
      <c r="G43" s="9" t="s">
        <v>162</v>
      </c>
      <c r="H43" s="9" t="s">
        <v>163</v>
      </c>
      <c r="I43" s="9" t="s">
        <v>164</v>
      </c>
      <c r="K43" s="9" t="s">
        <v>84</v>
      </c>
      <c r="L43" s="9" t="s">
        <v>279</v>
      </c>
      <c r="M43" s="9" t="s">
        <v>118</v>
      </c>
      <c r="N43" s="9" t="s">
        <v>85</v>
      </c>
      <c r="O43" s="9" t="s">
        <v>86</v>
      </c>
      <c r="P43" s="9" t="s">
        <v>119</v>
      </c>
      <c r="R43" s="9" t="s">
        <v>123</v>
      </c>
      <c r="S43" s="9" t="s">
        <v>91</v>
      </c>
      <c r="T43" s="9" t="s">
        <v>92</v>
      </c>
      <c r="U43" s="9" t="s">
        <v>87</v>
      </c>
      <c r="V43" s="9" t="s">
        <v>124</v>
      </c>
      <c r="W43" s="9" t="s">
        <v>122</v>
      </c>
      <c r="X43" s="9" t="s">
        <v>88</v>
      </c>
      <c r="AA43" s="19"/>
      <c r="AB43" s="19"/>
    </row>
    <row r="44" spans="2:28" x14ac:dyDescent="0.25">
      <c r="B44" s="23">
        <v>1</v>
      </c>
      <c r="C44" s="10" t="s">
        <v>4</v>
      </c>
      <c r="D44" s="24">
        <f t="shared" ref="D44:D57" si="27">D25</f>
        <v>2270.04</v>
      </c>
      <c r="E44" s="24">
        <f>GFA!L3</f>
        <v>27.08</v>
      </c>
      <c r="F44" s="24">
        <f>'Acc. Dep'!U3</f>
        <v>1961.9500000000003</v>
      </c>
      <c r="G44" s="24">
        <f>'Dep''n 23-27'!G5</f>
        <v>34.56</v>
      </c>
      <c r="H44" s="24">
        <f t="shared" ref="H44:H57" si="28">D44-F44</f>
        <v>308.08999999999969</v>
      </c>
      <c r="I44" s="24">
        <f t="shared" ref="I44:I57" si="29">D44+E44-F44-G44</f>
        <v>300.60999999999962</v>
      </c>
      <c r="K44" s="24">
        <f t="shared" ref="K44:K57" si="30">M25</f>
        <v>0</v>
      </c>
      <c r="L44" s="24">
        <f>E44*75%</f>
        <v>20.309999999999999</v>
      </c>
      <c r="M44" s="24">
        <f>IF(K44+L44-G44&lt;0,0,K44+L44-G44)</f>
        <v>0</v>
      </c>
      <c r="N44" s="24">
        <f>AVERAGE(K44,M44)</f>
        <v>0</v>
      </c>
      <c r="O44" s="96">
        <f>ROI!G5</f>
        <v>9.5500000000000002E-2</v>
      </c>
      <c r="P44" s="24">
        <f>ROUND(N44*O44,2)</f>
        <v>0</v>
      </c>
      <c r="R44" s="24">
        <f t="shared" ref="R44:R57" si="31">D44*0.3</f>
        <v>681.01199999999994</v>
      </c>
      <c r="S44" s="24" t="e">
        <f>#REF!*0.3</f>
        <v>#REF!</v>
      </c>
      <c r="T44" s="24" t="e">
        <f>R44+S44</f>
        <v>#REF!</v>
      </c>
      <c r="U44" s="97" t="e">
        <f>15.5%/(1-#REF!)</f>
        <v>#REF!</v>
      </c>
      <c r="V44" s="37" t="e">
        <f>R44*U44</f>
        <v>#REF!</v>
      </c>
      <c r="W44" s="37" t="e">
        <f t="shared" ref="W44:W57" si="32">AVERAGE(R44,T44)*U44-V44</f>
        <v>#REF!</v>
      </c>
      <c r="X44" s="37" t="e">
        <f>ROUND((V44+W44),2)</f>
        <v>#REF!</v>
      </c>
      <c r="AA44" s="19"/>
      <c r="AB44" s="19"/>
    </row>
    <row r="45" spans="2:28" x14ac:dyDescent="0.25">
      <c r="B45" s="23">
        <v>2</v>
      </c>
      <c r="C45" s="10" t="s">
        <v>5</v>
      </c>
      <c r="D45" s="24">
        <f t="shared" si="27"/>
        <v>2473.23</v>
      </c>
      <c r="E45" s="24">
        <f>GFA!L4</f>
        <v>27.08</v>
      </c>
      <c r="F45" s="24">
        <f>'Acc. Dep'!U4</f>
        <v>2002.1900000000003</v>
      </c>
      <c r="G45" s="24">
        <f>'Dep''n 23-27'!G6</f>
        <v>23.86</v>
      </c>
      <c r="H45" s="24">
        <f t="shared" si="28"/>
        <v>471.03999999999974</v>
      </c>
      <c r="I45" s="24">
        <f t="shared" si="29"/>
        <v>474.25999999999965</v>
      </c>
      <c r="K45" s="24">
        <f t="shared" si="30"/>
        <v>0</v>
      </c>
      <c r="L45" s="24">
        <f t="shared" ref="L45:L57" si="33">E45*75%</f>
        <v>20.309999999999999</v>
      </c>
      <c r="M45" s="24">
        <f t="shared" ref="M45:M57" si="34">IF(K45+L45-G45&lt;0,0,K45+L45-G45)</f>
        <v>0</v>
      </c>
      <c r="N45" s="24">
        <f t="shared" ref="N45:N57" si="35">AVERAGE(K45,M45)</f>
        <v>0</v>
      </c>
      <c r="O45" s="96">
        <f>ROI!G6</f>
        <v>0.1033</v>
      </c>
      <c r="P45" s="24">
        <f t="shared" ref="P45:P57" si="36">ROUND(N45*O45,2)</f>
        <v>0</v>
      </c>
      <c r="R45" s="24">
        <f t="shared" si="31"/>
        <v>741.96899999999994</v>
      </c>
      <c r="S45" s="24" t="e">
        <f>#REF!*0.3</f>
        <v>#REF!</v>
      </c>
      <c r="T45" s="24" t="e">
        <f t="shared" ref="T45:T57" si="37">R45+S45</f>
        <v>#REF!</v>
      </c>
      <c r="U45" s="97" t="e">
        <f>15.5%/(1-#REF!)</f>
        <v>#REF!</v>
      </c>
      <c r="V45" s="37" t="e">
        <f t="shared" ref="V45:V57" si="38">R45*U45</f>
        <v>#REF!</v>
      </c>
      <c r="W45" s="37" t="e">
        <f t="shared" si="32"/>
        <v>#REF!</v>
      </c>
      <c r="X45" s="37" t="e">
        <f t="shared" ref="X45:X57" si="39">ROUND((V45+W45),2)</f>
        <v>#REF!</v>
      </c>
      <c r="AA45" s="19"/>
      <c r="AB45" s="19"/>
    </row>
    <row r="46" spans="2:28" x14ac:dyDescent="0.25">
      <c r="B46" s="23">
        <v>3</v>
      </c>
      <c r="C46" s="10" t="s">
        <v>6</v>
      </c>
      <c r="D46" s="24">
        <f t="shared" si="27"/>
        <v>5109.13</v>
      </c>
      <c r="E46" s="24">
        <f>GFA!L5</f>
        <v>4.97</v>
      </c>
      <c r="F46" s="24">
        <f>'Acc. Dep'!U5</f>
        <v>1629.33</v>
      </c>
      <c r="G46" s="24">
        <f>'Dep''n 23-27'!G7</f>
        <v>174.95</v>
      </c>
      <c r="H46" s="24">
        <f t="shared" si="28"/>
        <v>3479.8</v>
      </c>
      <c r="I46" s="24">
        <f t="shared" si="29"/>
        <v>3309.8200000000006</v>
      </c>
      <c r="K46" s="24">
        <f t="shared" si="30"/>
        <v>1949.6410000000003</v>
      </c>
      <c r="L46" s="24">
        <f t="shared" si="33"/>
        <v>3.7275</v>
      </c>
      <c r="M46" s="24">
        <f t="shared" si="34"/>
        <v>1778.4185000000002</v>
      </c>
      <c r="N46" s="24">
        <f t="shared" si="35"/>
        <v>1864.0297500000001</v>
      </c>
      <c r="O46" s="96">
        <f>ROI!G7</f>
        <v>0.1013</v>
      </c>
      <c r="P46" s="24">
        <f t="shared" si="36"/>
        <v>188.83</v>
      </c>
      <c r="R46" s="24">
        <f t="shared" si="31"/>
        <v>1532.739</v>
      </c>
      <c r="S46" s="24" t="e">
        <f>#REF!*0.3</f>
        <v>#REF!</v>
      </c>
      <c r="T46" s="24" t="e">
        <f t="shared" si="37"/>
        <v>#REF!</v>
      </c>
      <c r="U46" s="97" t="e">
        <f>15.5%/(1-#REF!)</f>
        <v>#REF!</v>
      </c>
      <c r="V46" s="37" t="e">
        <f t="shared" si="38"/>
        <v>#REF!</v>
      </c>
      <c r="W46" s="37" t="e">
        <f t="shared" si="32"/>
        <v>#REF!</v>
      </c>
      <c r="X46" s="37" t="e">
        <f t="shared" si="39"/>
        <v>#REF!</v>
      </c>
      <c r="AA46" s="19"/>
      <c r="AB46" s="19"/>
    </row>
    <row r="47" spans="2:28" x14ac:dyDescent="0.25">
      <c r="B47" s="23">
        <v>4</v>
      </c>
      <c r="C47" s="10" t="s">
        <v>8</v>
      </c>
      <c r="D47" s="24">
        <f t="shared" si="27"/>
        <v>2548.9699999999998</v>
      </c>
      <c r="E47" s="24">
        <f>GFA!L7</f>
        <v>0</v>
      </c>
      <c r="F47" s="24">
        <f>'Acc. Dep'!U7</f>
        <v>2137.0499999999997</v>
      </c>
      <c r="G47" s="24">
        <f>'Dep''n 23-27'!G9</f>
        <v>18.309999999999999</v>
      </c>
      <c r="H47" s="24">
        <f t="shared" si="28"/>
        <v>411.92000000000007</v>
      </c>
      <c r="I47" s="24">
        <f t="shared" si="29"/>
        <v>393.61000000000007</v>
      </c>
      <c r="K47" s="24">
        <f t="shared" si="30"/>
        <v>0</v>
      </c>
      <c r="L47" s="24">
        <f t="shared" si="33"/>
        <v>0</v>
      </c>
      <c r="M47" s="24">
        <f t="shared" si="34"/>
        <v>0</v>
      </c>
      <c r="N47" s="24">
        <f t="shared" si="35"/>
        <v>0</v>
      </c>
      <c r="O47" s="96">
        <f>ROI!G9</f>
        <v>9.9500000000000005E-2</v>
      </c>
      <c r="P47" s="24">
        <f t="shared" si="36"/>
        <v>0</v>
      </c>
      <c r="R47" s="24">
        <f t="shared" si="31"/>
        <v>764.69099999999992</v>
      </c>
      <c r="S47" s="24" t="e">
        <f>#REF!*0.3</f>
        <v>#REF!</v>
      </c>
      <c r="T47" s="24" t="e">
        <f t="shared" si="37"/>
        <v>#REF!</v>
      </c>
      <c r="U47" s="97" t="e">
        <f>15.5%/(1-#REF!)</f>
        <v>#REF!</v>
      </c>
      <c r="V47" s="37" t="e">
        <f t="shared" si="38"/>
        <v>#REF!</v>
      </c>
      <c r="W47" s="37" t="e">
        <f t="shared" si="32"/>
        <v>#REF!</v>
      </c>
      <c r="X47" s="37" t="e">
        <f t="shared" si="39"/>
        <v>#REF!</v>
      </c>
      <c r="AA47" s="19"/>
      <c r="AB47" s="19"/>
    </row>
    <row r="48" spans="2:28" x14ac:dyDescent="0.25">
      <c r="B48" s="23">
        <v>5</v>
      </c>
      <c r="C48" s="10" t="s">
        <v>9</v>
      </c>
      <c r="D48" s="24">
        <f t="shared" si="27"/>
        <v>3769.46</v>
      </c>
      <c r="E48" s="24">
        <f>GFA!L8</f>
        <v>93</v>
      </c>
      <c r="F48" s="24">
        <f>'Acc. Dep'!U8</f>
        <v>1697.6</v>
      </c>
      <c r="G48" s="24">
        <f>'Dep''n 23-27'!G10</f>
        <v>116.31</v>
      </c>
      <c r="H48" s="24">
        <f t="shared" si="28"/>
        <v>2071.86</v>
      </c>
      <c r="I48" s="24">
        <f t="shared" si="29"/>
        <v>2048.5500000000002</v>
      </c>
      <c r="K48" s="24">
        <f t="shared" si="30"/>
        <v>947.62935440550007</v>
      </c>
      <c r="L48" s="24">
        <f t="shared" si="33"/>
        <v>69.75</v>
      </c>
      <c r="M48" s="24">
        <f t="shared" si="34"/>
        <v>901.06935440550001</v>
      </c>
      <c r="N48" s="24">
        <f t="shared" si="35"/>
        <v>924.34935440549998</v>
      </c>
      <c r="O48" s="96">
        <f>ROI!G10</f>
        <v>0.10299999999999999</v>
      </c>
      <c r="P48" s="24">
        <f t="shared" si="36"/>
        <v>95.21</v>
      </c>
      <c r="R48" s="24">
        <f t="shared" si="31"/>
        <v>1130.838</v>
      </c>
      <c r="S48" s="24" t="e">
        <f>#REF!*0.3</f>
        <v>#REF!</v>
      </c>
      <c r="T48" s="24" t="e">
        <f t="shared" si="37"/>
        <v>#REF!</v>
      </c>
      <c r="U48" s="97" t="e">
        <f>15.5%/(1-#REF!)</f>
        <v>#REF!</v>
      </c>
      <c r="V48" s="37" t="e">
        <f t="shared" si="38"/>
        <v>#REF!</v>
      </c>
      <c r="W48" s="37" t="e">
        <f t="shared" si="32"/>
        <v>#REF!</v>
      </c>
      <c r="X48" s="37" t="e">
        <f t="shared" si="39"/>
        <v>#REF!</v>
      </c>
      <c r="AA48" s="19"/>
      <c r="AB48" s="19"/>
    </row>
    <row r="49" spans="2:28" x14ac:dyDescent="0.25">
      <c r="B49" s="23">
        <v>6</v>
      </c>
      <c r="C49" s="10" t="s">
        <v>10</v>
      </c>
      <c r="D49" s="24">
        <f t="shared" si="27"/>
        <v>7445.28</v>
      </c>
      <c r="E49" s="24">
        <f>GFA!L9</f>
        <v>889.13</v>
      </c>
      <c r="F49" s="24">
        <f>'Acc. Dep'!U9</f>
        <v>1625.0800000000002</v>
      </c>
      <c r="G49" s="24">
        <f>'Dep''n 23-27'!G11</f>
        <v>267.02999999999997</v>
      </c>
      <c r="H49" s="24">
        <f t="shared" si="28"/>
        <v>5820.2</v>
      </c>
      <c r="I49" s="24">
        <f t="shared" si="29"/>
        <v>6442.3</v>
      </c>
      <c r="K49" s="24">
        <f t="shared" si="30"/>
        <v>3687.3259999999996</v>
      </c>
      <c r="L49" s="24">
        <f t="shared" si="33"/>
        <v>666.84749999999997</v>
      </c>
      <c r="M49" s="24">
        <f t="shared" si="34"/>
        <v>4087.1435000000001</v>
      </c>
      <c r="N49" s="24">
        <f t="shared" si="35"/>
        <v>3887.2347499999996</v>
      </c>
      <c r="O49" s="96">
        <f>ROI!G11</f>
        <v>0.1018</v>
      </c>
      <c r="P49" s="24">
        <f t="shared" si="36"/>
        <v>395.72</v>
      </c>
      <c r="R49" s="24">
        <f t="shared" si="31"/>
        <v>2233.5839999999998</v>
      </c>
      <c r="S49" s="24" t="e">
        <f>#REF!*0.3</f>
        <v>#REF!</v>
      </c>
      <c r="T49" s="24" t="e">
        <f t="shared" si="37"/>
        <v>#REF!</v>
      </c>
      <c r="U49" s="97" t="e">
        <f>15.5%/(1-#REF!)</f>
        <v>#REF!</v>
      </c>
      <c r="V49" s="37" t="e">
        <f t="shared" si="38"/>
        <v>#REF!</v>
      </c>
      <c r="W49" s="37" t="e">
        <f t="shared" si="32"/>
        <v>#REF!</v>
      </c>
      <c r="X49" s="37" t="e">
        <f t="shared" si="39"/>
        <v>#REF!</v>
      </c>
      <c r="AA49" s="19"/>
      <c r="AB49" s="19"/>
    </row>
    <row r="50" spans="2:28" s="189" customFormat="1" x14ac:dyDescent="0.25">
      <c r="B50" s="182">
        <v>7</v>
      </c>
      <c r="C50" s="183" t="s">
        <v>11</v>
      </c>
      <c r="D50" s="184">
        <f t="shared" si="27"/>
        <v>1923.46</v>
      </c>
      <c r="E50" s="184">
        <f>GFA!L10</f>
        <v>0</v>
      </c>
      <c r="F50" s="184">
        <f>'Acc. Dep'!U10</f>
        <v>1378.8</v>
      </c>
      <c r="G50" s="184">
        <f>'Dep''n 23-27'!G12</f>
        <v>59.07</v>
      </c>
      <c r="H50" s="184">
        <f t="shared" si="28"/>
        <v>544.66000000000008</v>
      </c>
      <c r="I50" s="184">
        <f t="shared" si="29"/>
        <v>485.59000000000009</v>
      </c>
      <c r="K50" s="184">
        <f t="shared" si="30"/>
        <v>0</v>
      </c>
      <c r="L50" s="184">
        <f t="shared" si="33"/>
        <v>0</v>
      </c>
      <c r="M50" s="184">
        <f t="shared" si="34"/>
        <v>0</v>
      </c>
      <c r="N50" s="184">
        <f t="shared" si="35"/>
        <v>0</v>
      </c>
      <c r="O50" s="190">
        <f>ROI!G12</f>
        <v>0.10199999999999999</v>
      </c>
      <c r="P50" s="184">
        <f t="shared" si="36"/>
        <v>0</v>
      </c>
      <c r="R50" s="184">
        <f t="shared" si="31"/>
        <v>577.03800000000001</v>
      </c>
      <c r="S50" s="184" t="e">
        <f>#REF!*0.3</f>
        <v>#REF!</v>
      </c>
      <c r="T50" s="184" t="e">
        <f t="shared" si="37"/>
        <v>#REF!</v>
      </c>
      <c r="U50" s="191" t="e">
        <f>16.5%/(1-#REF!)</f>
        <v>#REF!</v>
      </c>
      <c r="V50" s="192" t="e">
        <f t="shared" si="38"/>
        <v>#REF!</v>
      </c>
      <c r="W50" s="192" t="e">
        <f t="shared" si="32"/>
        <v>#REF!</v>
      </c>
      <c r="X50" s="192" t="e">
        <f t="shared" si="39"/>
        <v>#REF!</v>
      </c>
    </row>
    <row r="51" spans="2:28" x14ac:dyDescent="0.25">
      <c r="B51" s="23">
        <v>8</v>
      </c>
      <c r="C51" s="10" t="s">
        <v>12</v>
      </c>
      <c r="D51" s="24">
        <f t="shared" si="27"/>
        <v>3384.21</v>
      </c>
      <c r="E51" s="24">
        <f>GFA!L11</f>
        <v>0</v>
      </c>
      <c r="F51" s="24">
        <f>'Acc. Dep'!U11</f>
        <v>2055.1800000000007</v>
      </c>
      <c r="G51" s="24">
        <f>'Dep''n 23-27'!G13</f>
        <v>59.13</v>
      </c>
      <c r="H51" s="24">
        <f t="shared" si="28"/>
        <v>1329.0299999999993</v>
      </c>
      <c r="I51" s="24">
        <f t="shared" si="29"/>
        <v>1269.8999999999992</v>
      </c>
      <c r="K51" s="24">
        <f t="shared" si="30"/>
        <v>325.93199999999899</v>
      </c>
      <c r="L51" s="24">
        <f t="shared" si="33"/>
        <v>0</v>
      </c>
      <c r="M51" s="24">
        <f t="shared" si="34"/>
        <v>266.801999999999</v>
      </c>
      <c r="N51" s="24">
        <f t="shared" si="35"/>
        <v>296.366999999999</v>
      </c>
      <c r="O51" s="96">
        <f>ROI!G13</f>
        <v>0.10150000000000001</v>
      </c>
      <c r="P51" s="24">
        <f t="shared" si="36"/>
        <v>30.08</v>
      </c>
      <c r="R51" s="24">
        <f t="shared" si="31"/>
        <v>1015.2629999999999</v>
      </c>
      <c r="S51" s="24" t="e">
        <f>#REF!*0.3</f>
        <v>#REF!</v>
      </c>
      <c r="T51" s="24" t="e">
        <f t="shared" si="37"/>
        <v>#REF!</v>
      </c>
      <c r="U51" s="97" t="e">
        <f>16.5%/(1-#REF!)</f>
        <v>#REF!</v>
      </c>
      <c r="V51" s="37" t="e">
        <f t="shared" si="38"/>
        <v>#REF!</v>
      </c>
      <c r="W51" s="37" t="e">
        <f t="shared" si="32"/>
        <v>#REF!</v>
      </c>
      <c r="X51" s="37" t="e">
        <f t="shared" si="39"/>
        <v>#REF!</v>
      </c>
      <c r="AA51" s="19"/>
      <c r="AB51" s="19"/>
    </row>
    <row r="52" spans="2:28" x14ac:dyDescent="0.25">
      <c r="B52" s="23">
        <v>9</v>
      </c>
      <c r="C52" s="10" t="s">
        <v>13</v>
      </c>
      <c r="D52" s="24">
        <f t="shared" si="27"/>
        <v>121.94</v>
      </c>
      <c r="E52" s="24">
        <f>GFA!L12</f>
        <v>0</v>
      </c>
      <c r="F52" s="24">
        <f>'Acc. Dep'!U12</f>
        <v>95.280000000000015</v>
      </c>
      <c r="G52" s="24">
        <f>'Dep''n 23-27'!G14</f>
        <v>1.04</v>
      </c>
      <c r="H52" s="24">
        <f t="shared" si="28"/>
        <v>26.659999999999982</v>
      </c>
      <c r="I52" s="24">
        <f t="shared" si="29"/>
        <v>25.619999999999983</v>
      </c>
      <c r="K52" s="24">
        <f t="shared" si="30"/>
        <v>0</v>
      </c>
      <c r="L52" s="24">
        <f t="shared" si="33"/>
        <v>0</v>
      </c>
      <c r="M52" s="24">
        <f t="shared" si="34"/>
        <v>0</v>
      </c>
      <c r="N52" s="24">
        <f t="shared" si="35"/>
        <v>0</v>
      </c>
      <c r="O52" s="96">
        <f>ROI!G14</f>
        <v>0.125</v>
      </c>
      <c r="P52" s="24">
        <f t="shared" si="36"/>
        <v>0</v>
      </c>
      <c r="R52" s="24">
        <f t="shared" si="31"/>
        <v>36.582000000000001</v>
      </c>
      <c r="S52" s="24" t="e">
        <f>#REF!*0.3</f>
        <v>#REF!</v>
      </c>
      <c r="T52" s="24" t="e">
        <f t="shared" si="37"/>
        <v>#REF!</v>
      </c>
      <c r="U52" s="97" t="e">
        <f>16.5%/(1-#REF!)</f>
        <v>#REF!</v>
      </c>
      <c r="V52" s="37" t="e">
        <f t="shared" si="38"/>
        <v>#REF!</v>
      </c>
      <c r="W52" s="37" t="e">
        <f t="shared" si="32"/>
        <v>#REF!</v>
      </c>
      <c r="X52" s="37" t="e">
        <f t="shared" si="39"/>
        <v>#REF!</v>
      </c>
      <c r="AA52" s="19"/>
      <c r="AB52" s="19"/>
    </row>
    <row r="53" spans="2:28" x14ac:dyDescent="0.25">
      <c r="B53" s="23">
        <v>10</v>
      </c>
      <c r="C53" s="10" t="s">
        <v>14</v>
      </c>
      <c r="D53" s="24">
        <f t="shared" si="27"/>
        <v>31.27</v>
      </c>
      <c r="E53" s="24">
        <f>GFA!L13</f>
        <v>0</v>
      </c>
      <c r="F53" s="24">
        <f>'Acc. Dep'!U13</f>
        <v>21.939999999999994</v>
      </c>
      <c r="G53" s="24">
        <f>'Dep''n 23-27'!G15</f>
        <v>0.34</v>
      </c>
      <c r="H53" s="24">
        <f t="shared" si="28"/>
        <v>9.3300000000000054</v>
      </c>
      <c r="I53" s="24">
        <f t="shared" si="29"/>
        <v>8.9900000000000055</v>
      </c>
      <c r="K53" s="24">
        <f>M34</f>
        <v>0</v>
      </c>
      <c r="L53" s="24">
        <f t="shared" si="33"/>
        <v>0</v>
      </c>
      <c r="M53" s="24">
        <f t="shared" si="34"/>
        <v>0</v>
      </c>
      <c r="N53" s="24">
        <f t="shared" si="35"/>
        <v>0</v>
      </c>
      <c r="O53" s="96">
        <f>ROI!G15</f>
        <v>0.125</v>
      </c>
      <c r="P53" s="24">
        <f t="shared" si="36"/>
        <v>0</v>
      </c>
      <c r="R53" s="24">
        <f t="shared" si="31"/>
        <v>9.3810000000000002</v>
      </c>
      <c r="S53" s="24" t="e">
        <f>#REF!*0.3</f>
        <v>#REF!</v>
      </c>
      <c r="T53" s="24" t="e">
        <f t="shared" si="37"/>
        <v>#REF!</v>
      </c>
      <c r="U53" s="97" t="e">
        <f>15.5%/(1-#REF!)</f>
        <v>#REF!</v>
      </c>
      <c r="V53" s="37" t="e">
        <f t="shared" si="38"/>
        <v>#REF!</v>
      </c>
      <c r="W53" s="37" t="e">
        <f t="shared" si="32"/>
        <v>#REF!</v>
      </c>
      <c r="X53" s="37" t="e">
        <f t="shared" si="39"/>
        <v>#REF!</v>
      </c>
      <c r="AA53" s="19"/>
      <c r="AB53" s="19"/>
    </row>
    <row r="54" spans="2:28" x14ac:dyDescent="0.25">
      <c r="B54" s="23">
        <v>11</v>
      </c>
      <c r="C54" s="10" t="s">
        <v>15</v>
      </c>
      <c r="D54" s="24">
        <f t="shared" si="27"/>
        <v>29.74</v>
      </c>
      <c r="E54" s="24">
        <f>GFA!L14</f>
        <v>0</v>
      </c>
      <c r="F54" s="24">
        <f>'Acc. Dep'!U14</f>
        <v>12.850000000000003</v>
      </c>
      <c r="G54" s="24">
        <f>'Dep''n 23-27'!G16</f>
        <v>0.57999999999999996</v>
      </c>
      <c r="H54" s="24">
        <f t="shared" si="28"/>
        <v>16.889999999999993</v>
      </c>
      <c r="I54" s="24">
        <f t="shared" si="29"/>
        <v>16.309999999999995</v>
      </c>
      <c r="K54" s="24">
        <f t="shared" si="30"/>
        <v>7.9679999999999946</v>
      </c>
      <c r="L54" s="24">
        <f t="shared" si="33"/>
        <v>0</v>
      </c>
      <c r="M54" s="24">
        <f t="shared" si="34"/>
        <v>7.3879999999999946</v>
      </c>
      <c r="N54" s="24">
        <f t="shared" si="35"/>
        <v>7.6779999999999946</v>
      </c>
      <c r="O54" s="96">
        <f>ROI!G16</f>
        <v>0.10100000000000001</v>
      </c>
      <c r="P54" s="24">
        <f t="shared" si="36"/>
        <v>0.78</v>
      </c>
      <c r="R54" s="24">
        <f t="shared" si="31"/>
        <v>8.9219999999999988</v>
      </c>
      <c r="S54" s="24" t="e">
        <f>#REF!*0.3</f>
        <v>#REF!</v>
      </c>
      <c r="T54" s="24" t="e">
        <f t="shared" si="37"/>
        <v>#REF!</v>
      </c>
      <c r="U54" s="97" t="e">
        <f>16.5%/(1-#REF!)</f>
        <v>#REF!</v>
      </c>
      <c r="V54" s="37" t="e">
        <f t="shared" si="38"/>
        <v>#REF!</v>
      </c>
      <c r="W54" s="37" t="e">
        <f t="shared" si="32"/>
        <v>#REF!</v>
      </c>
      <c r="X54" s="37" t="e">
        <f t="shared" si="39"/>
        <v>#REF!</v>
      </c>
      <c r="AA54" s="19"/>
      <c r="AB54" s="19"/>
    </row>
    <row r="55" spans="2:28" x14ac:dyDescent="0.25">
      <c r="B55" s="23">
        <v>12</v>
      </c>
      <c r="C55" s="10" t="s">
        <v>16</v>
      </c>
      <c r="D55" s="24">
        <f t="shared" si="27"/>
        <v>692.5</v>
      </c>
      <c r="E55" s="24">
        <f>GFA!L15</f>
        <v>0</v>
      </c>
      <c r="F55" s="24">
        <f>'Acc. Dep'!U15</f>
        <v>344.82999999999993</v>
      </c>
      <c r="G55" s="24">
        <f>'Dep''n 23-27'!G17</f>
        <v>11.14</v>
      </c>
      <c r="H55" s="24">
        <f t="shared" si="28"/>
        <v>347.67000000000007</v>
      </c>
      <c r="I55" s="24">
        <f t="shared" si="29"/>
        <v>336.53000000000009</v>
      </c>
      <c r="K55" s="24">
        <f t="shared" si="30"/>
        <v>139.9425</v>
      </c>
      <c r="L55" s="24">
        <f t="shared" si="33"/>
        <v>0</v>
      </c>
      <c r="M55" s="24">
        <f t="shared" si="34"/>
        <v>128.80250000000001</v>
      </c>
      <c r="N55" s="24">
        <f t="shared" si="35"/>
        <v>134.3725</v>
      </c>
      <c r="O55" s="96">
        <f>ROI!G17</f>
        <v>9.9500000000000005E-2</v>
      </c>
      <c r="P55" s="24">
        <f t="shared" si="36"/>
        <v>13.37</v>
      </c>
      <c r="R55" s="24">
        <f t="shared" si="31"/>
        <v>207.75</v>
      </c>
      <c r="S55" s="24" t="e">
        <f>#REF!*0.3</f>
        <v>#REF!</v>
      </c>
      <c r="T55" s="24" t="e">
        <f t="shared" si="37"/>
        <v>#REF!</v>
      </c>
      <c r="U55" s="97" t="e">
        <f>15.5%/(1-#REF!)</f>
        <v>#REF!</v>
      </c>
      <c r="V55" s="37" t="e">
        <f t="shared" si="38"/>
        <v>#REF!</v>
      </c>
      <c r="W55" s="37" t="e">
        <f t="shared" si="32"/>
        <v>#REF!</v>
      </c>
      <c r="X55" s="37" t="e">
        <f t="shared" si="39"/>
        <v>#REF!</v>
      </c>
      <c r="AA55" s="19"/>
      <c r="AB55" s="19"/>
    </row>
    <row r="56" spans="2:28" x14ac:dyDescent="0.25">
      <c r="B56" s="23">
        <v>13</v>
      </c>
      <c r="C56" s="10" t="s">
        <v>17</v>
      </c>
      <c r="D56" s="24">
        <f t="shared" si="27"/>
        <v>1635.81</v>
      </c>
      <c r="E56" s="24">
        <f>GFA!L16</f>
        <v>12.6</v>
      </c>
      <c r="F56" s="24">
        <f>'Acc. Dep'!U16</f>
        <v>665.59999999999991</v>
      </c>
      <c r="G56" s="24">
        <f>'Dep''n 23-27'!G18</f>
        <v>27.33</v>
      </c>
      <c r="H56" s="24">
        <f t="shared" si="28"/>
        <v>970.21</v>
      </c>
      <c r="I56" s="24">
        <f t="shared" si="29"/>
        <v>955.4799999999999</v>
      </c>
      <c r="K56" s="24">
        <f t="shared" si="30"/>
        <v>485.78949999999986</v>
      </c>
      <c r="L56" s="24">
        <f t="shared" si="33"/>
        <v>9.4499999999999993</v>
      </c>
      <c r="M56" s="24">
        <f t="shared" si="34"/>
        <v>467.90949999999987</v>
      </c>
      <c r="N56" s="24">
        <f t="shared" si="35"/>
        <v>476.84949999999986</v>
      </c>
      <c r="O56" s="96">
        <f>ROI!G18</f>
        <v>0.10199999999999999</v>
      </c>
      <c r="P56" s="24">
        <f t="shared" si="36"/>
        <v>48.64</v>
      </c>
      <c r="R56" s="24">
        <f t="shared" si="31"/>
        <v>490.74299999999994</v>
      </c>
      <c r="S56" s="24" t="e">
        <f>#REF!*0.3</f>
        <v>#REF!</v>
      </c>
      <c r="T56" s="24" t="e">
        <f t="shared" si="37"/>
        <v>#REF!</v>
      </c>
      <c r="U56" s="97" t="e">
        <f>15.5%/(1-#REF!)</f>
        <v>#REF!</v>
      </c>
      <c r="V56" s="37" t="e">
        <f t="shared" si="38"/>
        <v>#REF!</v>
      </c>
      <c r="W56" s="37" t="e">
        <f t="shared" si="32"/>
        <v>#REF!</v>
      </c>
      <c r="X56" s="37" t="e">
        <f t="shared" si="39"/>
        <v>#REF!</v>
      </c>
      <c r="AA56" s="19"/>
      <c r="AB56" s="19"/>
    </row>
    <row r="57" spans="2:28" x14ac:dyDescent="0.25">
      <c r="B57" s="23">
        <v>14</v>
      </c>
      <c r="C57" s="10" t="s">
        <v>18</v>
      </c>
      <c r="D57" s="24">
        <f t="shared" si="27"/>
        <v>440.76000000000005</v>
      </c>
      <c r="E57" s="24">
        <f>GFA!L17</f>
        <v>0</v>
      </c>
      <c r="F57" s="24">
        <f>'Acc. Dep'!U17</f>
        <v>104.1</v>
      </c>
      <c r="G57" s="24">
        <f>'Dep''n 23-27'!G19</f>
        <v>9.14</v>
      </c>
      <c r="H57" s="24">
        <f t="shared" si="28"/>
        <v>336.66000000000008</v>
      </c>
      <c r="I57" s="24">
        <f t="shared" si="29"/>
        <v>327.5200000000001</v>
      </c>
      <c r="K57" s="24">
        <f t="shared" si="30"/>
        <v>204.43200000000007</v>
      </c>
      <c r="L57" s="24">
        <f t="shared" si="33"/>
        <v>0</v>
      </c>
      <c r="M57" s="24">
        <f t="shared" si="34"/>
        <v>195.29200000000009</v>
      </c>
      <c r="N57" s="24">
        <f t="shared" si="35"/>
        <v>199.86200000000008</v>
      </c>
      <c r="O57" s="96">
        <f>ROI!G19</f>
        <v>0.1056</v>
      </c>
      <c r="P57" s="24">
        <f t="shared" si="36"/>
        <v>21.11</v>
      </c>
      <c r="R57" s="24">
        <f t="shared" si="31"/>
        <v>132.22800000000001</v>
      </c>
      <c r="S57" s="24" t="e">
        <f>#REF!*0.3</f>
        <v>#REF!</v>
      </c>
      <c r="T57" s="24" t="e">
        <f t="shared" si="37"/>
        <v>#REF!</v>
      </c>
      <c r="U57" s="97" t="e">
        <f>16.5%/(1-#REF!)</f>
        <v>#REF!</v>
      </c>
      <c r="V57" s="37" t="e">
        <f t="shared" si="38"/>
        <v>#REF!</v>
      </c>
      <c r="W57" s="37" t="e">
        <f t="shared" si="32"/>
        <v>#REF!</v>
      </c>
      <c r="X57" s="37" t="e">
        <f t="shared" si="39"/>
        <v>#REF!</v>
      </c>
      <c r="AA57" s="19"/>
      <c r="AB57" s="19"/>
    </row>
    <row r="58" spans="2:28" x14ac:dyDescent="0.25">
      <c r="C58" s="21" t="s">
        <v>19</v>
      </c>
      <c r="D58" s="28">
        <f t="shared" ref="D58:I58" si="40">SUM(D44:D57)</f>
        <v>31875.8</v>
      </c>
      <c r="E58" s="28">
        <f t="shared" si="40"/>
        <v>1053.8599999999999</v>
      </c>
      <c r="F58" s="28">
        <f t="shared" si="40"/>
        <v>15731.780000000002</v>
      </c>
      <c r="G58" s="28">
        <f t="shared" si="40"/>
        <v>802.79000000000008</v>
      </c>
      <c r="H58" s="28">
        <f t="shared" si="40"/>
        <v>16144.019999999997</v>
      </c>
      <c r="I58" s="28">
        <f t="shared" si="40"/>
        <v>16395.09</v>
      </c>
      <c r="K58" s="98">
        <f>SUM(K44:K57)</f>
        <v>7748.6603544054979</v>
      </c>
      <c r="L58" s="98">
        <f>SUM(L44:L57)</f>
        <v>790.39499999999998</v>
      </c>
      <c r="M58" s="98">
        <f>SUM(M44:M57)</f>
        <v>7832.8253544054987</v>
      </c>
      <c r="N58" s="99">
        <f>SUM(N44:N57)</f>
        <v>7790.7428544054992</v>
      </c>
      <c r="O58" s="96"/>
      <c r="P58" s="99">
        <f t="shared" ref="P58" si="41">SUM(P44:P57)</f>
        <v>793.74</v>
      </c>
      <c r="R58" s="100">
        <f>SUM(R44:R57)</f>
        <v>9562.739999999998</v>
      </c>
      <c r="S58" s="100" t="e">
        <f>SUM(S44:S57)</f>
        <v>#REF!</v>
      </c>
      <c r="T58" s="100" t="e">
        <f>SUM(T44:T57)</f>
        <v>#REF!</v>
      </c>
      <c r="U58" s="101" t="s">
        <v>66</v>
      </c>
      <c r="V58" s="100" t="e">
        <f>SUM(V44:V57)</f>
        <v>#REF!</v>
      </c>
      <c r="W58" s="100" t="e">
        <f>SUM(W44:W57)</f>
        <v>#REF!</v>
      </c>
      <c r="X58" s="100" t="e">
        <f>SUM(X44:X57)</f>
        <v>#REF!</v>
      </c>
      <c r="AA58" s="19"/>
      <c r="AB58" s="19"/>
    </row>
  </sheetData>
  <mergeCells count="5">
    <mergeCell ref="T42:Z42"/>
    <mergeCell ref="T2:Z2"/>
    <mergeCell ref="T23:Z23"/>
    <mergeCell ref="M23:P23"/>
    <mergeCell ref="M42:P42"/>
  </mergeCells>
  <pageMargins left="0.43307086614173229" right="0.43307086614173229" top="0.74803149606299213" bottom="0.74803149606299213" header="0.31496062992125984" footer="0.31496062992125984"/>
  <pageSetup paperSize="9" scale="40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B2:F19"/>
  <sheetViews>
    <sheetView workbookViewId="0">
      <selection activeCell="K12" sqref="K12"/>
    </sheetView>
  </sheetViews>
  <sheetFormatPr defaultColWidth="9.140625" defaultRowHeight="14.25" x14ac:dyDescent="0.2"/>
  <cols>
    <col min="1" max="1" width="9.140625" style="14"/>
    <col min="2" max="2" width="14.5703125" style="14" bestFit="1" customWidth="1"/>
    <col min="3" max="3" width="14.5703125" style="14" customWidth="1"/>
    <col min="4" max="4" width="10.7109375" style="14" customWidth="1"/>
    <col min="5" max="5" width="11.42578125" style="14" customWidth="1"/>
    <col min="6" max="16384" width="9.140625" style="14"/>
  </cols>
  <sheetData>
    <row r="2" spans="2:5" ht="15" x14ac:dyDescent="0.25">
      <c r="B2" s="480" t="s">
        <v>50</v>
      </c>
      <c r="C2" s="481"/>
      <c r="D2" s="481"/>
      <c r="E2" s="482"/>
    </row>
    <row r="3" spans="2:5" ht="15" x14ac:dyDescent="0.25">
      <c r="B3" s="54" t="s">
        <v>35</v>
      </c>
      <c r="C3" s="16" t="s">
        <v>136</v>
      </c>
      <c r="D3" s="16" t="s">
        <v>137</v>
      </c>
      <c r="E3" s="16" t="s">
        <v>138</v>
      </c>
    </row>
    <row r="4" spans="2:5" x14ac:dyDescent="0.2">
      <c r="B4" s="15" t="s">
        <v>38</v>
      </c>
      <c r="C4" s="18">
        <f>'Int on Loan Sheet'!P4</f>
        <v>0</v>
      </c>
      <c r="D4" s="68">
        <f>'Int on Loan Sheet'!P25</f>
        <v>0</v>
      </c>
      <c r="E4" s="15">
        <f>'Int on Loan Sheet'!P44</f>
        <v>0</v>
      </c>
    </row>
    <row r="5" spans="2:5" x14ac:dyDescent="0.2">
      <c r="B5" s="15" t="s">
        <v>39</v>
      </c>
      <c r="C5" s="18">
        <f>'Int on Loan Sheet'!P5</f>
        <v>0</v>
      </c>
      <c r="D5" s="68">
        <f>'Int on Loan Sheet'!P26</f>
        <v>0</v>
      </c>
      <c r="E5" s="15">
        <f>'Int on Loan Sheet'!P45</f>
        <v>0</v>
      </c>
    </row>
    <row r="6" spans="2:5" x14ac:dyDescent="0.2">
      <c r="B6" s="15" t="s">
        <v>40</v>
      </c>
      <c r="C6" s="18">
        <f>'Int on Loan Sheet'!P6</f>
        <v>220.61</v>
      </c>
      <c r="D6" s="68">
        <f>'Int on Loan Sheet'!P27</f>
        <v>205.13</v>
      </c>
      <c r="E6" s="15">
        <f>'Int on Loan Sheet'!P46</f>
        <v>188.83</v>
      </c>
    </row>
    <row r="7" spans="2:5" x14ac:dyDescent="0.2">
      <c r="B7" s="15" t="s">
        <v>7</v>
      </c>
      <c r="C7" s="18">
        <f>'Int on Loan Sheet'!P7</f>
        <v>0</v>
      </c>
      <c r="D7" s="68"/>
      <c r="E7" s="15"/>
    </row>
    <row r="8" spans="2:5" x14ac:dyDescent="0.2">
      <c r="B8" s="15" t="s">
        <v>36</v>
      </c>
      <c r="C8" s="18">
        <f>'Int on Loan Sheet'!P8</f>
        <v>0</v>
      </c>
      <c r="D8" s="68">
        <f>'Int on Loan Sheet'!P28</f>
        <v>0</v>
      </c>
      <c r="E8" s="15">
        <f>'Int on Loan Sheet'!P47</f>
        <v>0</v>
      </c>
    </row>
    <row r="9" spans="2:5" x14ac:dyDescent="0.2">
      <c r="B9" s="15" t="s">
        <v>37</v>
      </c>
      <c r="C9" s="18">
        <f>'Int on Loan Sheet'!P9</f>
        <v>114.23</v>
      </c>
      <c r="D9" s="68">
        <f>'Int on Loan Sheet'!P29</f>
        <v>103.24</v>
      </c>
      <c r="E9" s="15">
        <f>'Int on Loan Sheet'!P48</f>
        <v>95.21</v>
      </c>
    </row>
    <row r="10" spans="2:5" x14ac:dyDescent="0.2">
      <c r="B10" s="15" t="s">
        <v>10</v>
      </c>
      <c r="C10" s="18">
        <f>'Int on Loan Sheet'!P10</f>
        <v>398.58</v>
      </c>
      <c r="D10" s="68">
        <f>'Int on Loan Sheet'!P30</f>
        <v>386.87</v>
      </c>
      <c r="E10" s="15">
        <f>'Int on Loan Sheet'!P49</f>
        <v>395.72</v>
      </c>
    </row>
    <row r="11" spans="2:5" x14ac:dyDescent="0.2">
      <c r="B11" s="15" t="s">
        <v>41</v>
      </c>
      <c r="C11" s="18">
        <f>'Int on Loan Sheet'!P11</f>
        <v>5.68</v>
      </c>
      <c r="D11" s="68">
        <f>'Int on Loan Sheet'!P31</f>
        <v>1.45</v>
      </c>
      <c r="E11" s="15">
        <f>'Int on Loan Sheet'!P50</f>
        <v>0</v>
      </c>
    </row>
    <row r="12" spans="2:5" x14ac:dyDescent="0.2">
      <c r="B12" s="15" t="s">
        <v>42</v>
      </c>
      <c r="C12" s="18">
        <f>'Int on Loan Sheet'!P12</f>
        <v>41.45</v>
      </c>
      <c r="D12" s="68">
        <f>'Int on Loan Sheet'!P32</f>
        <v>36.08</v>
      </c>
      <c r="E12" s="15">
        <f>'Int on Loan Sheet'!P51</f>
        <v>30.08</v>
      </c>
    </row>
    <row r="13" spans="2:5" x14ac:dyDescent="0.2">
      <c r="B13" s="15" t="s">
        <v>13</v>
      </c>
      <c r="C13" s="18">
        <f>'Int on Loan Sheet'!P13</f>
        <v>0</v>
      </c>
      <c r="D13" s="68">
        <f>'Int on Loan Sheet'!P33</f>
        <v>0</v>
      </c>
      <c r="E13" s="15">
        <f>'Int on Loan Sheet'!P52</f>
        <v>0</v>
      </c>
    </row>
    <row r="14" spans="2:5" x14ac:dyDescent="0.2">
      <c r="B14" s="15" t="s">
        <v>14</v>
      </c>
      <c r="C14" s="18">
        <f>'Int on Loan Sheet'!P14</f>
        <v>0.06</v>
      </c>
      <c r="D14" s="68">
        <f>'Int on Loan Sheet'!P34</f>
        <v>0.02</v>
      </c>
      <c r="E14" s="15">
        <f>'Int on Loan Sheet'!P53</f>
        <v>0</v>
      </c>
    </row>
    <row r="15" spans="2:5" x14ac:dyDescent="0.2">
      <c r="B15" s="15" t="s">
        <v>15</v>
      </c>
      <c r="C15" s="18">
        <f>'Int on Loan Sheet'!P15</f>
        <v>0.89</v>
      </c>
      <c r="D15" s="68">
        <f>'Int on Loan Sheet'!P35</f>
        <v>0.83</v>
      </c>
      <c r="E15" s="15">
        <f>'Int on Loan Sheet'!P54</f>
        <v>0.78</v>
      </c>
    </row>
    <row r="16" spans="2:5" x14ac:dyDescent="0.2">
      <c r="B16" s="15" t="s">
        <v>43</v>
      </c>
      <c r="C16" s="18">
        <f>'Int on Loan Sheet'!P16</f>
        <v>15.59</v>
      </c>
      <c r="D16" s="68">
        <f>'Int on Loan Sheet'!P36</f>
        <v>14.48</v>
      </c>
      <c r="E16" s="15">
        <f>'Int on Loan Sheet'!P55</f>
        <v>13.37</v>
      </c>
    </row>
    <row r="17" spans="2:6" x14ac:dyDescent="0.2">
      <c r="B17" s="15" t="s">
        <v>44</v>
      </c>
      <c r="C17" s="18">
        <f>'Int on Loan Sheet'!P17</f>
        <v>52.07</v>
      </c>
      <c r="D17" s="68">
        <f>'Int on Loan Sheet'!P37</f>
        <v>50.93</v>
      </c>
      <c r="E17" s="15">
        <f>'Int on Loan Sheet'!P56</f>
        <v>48.64</v>
      </c>
    </row>
    <row r="18" spans="2:6" x14ac:dyDescent="0.2">
      <c r="B18" s="15" t="s">
        <v>45</v>
      </c>
      <c r="C18" s="18">
        <f>'Int on Loan Sheet'!P18</f>
        <v>23.04</v>
      </c>
      <c r="D18" s="68">
        <f>'Int on Loan Sheet'!P38</f>
        <v>22.07</v>
      </c>
      <c r="E18" s="15">
        <f>'Int on Loan Sheet'!P57</f>
        <v>21.11</v>
      </c>
    </row>
    <row r="19" spans="2:6" ht="15" x14ac:dyDescent="0.25">
      <c r="B19" s="16" t="s">
        <v>19</v>
      </c>
      <c r="C19" s="69">
        <f t="shared" ref="C19:E19" si="0">SUM(C4:C18)</f>
        <v>872.2</v>
      </c>
      <c r="D19" s="69">
        <f t="shared" si="0"/>
        <v>821.10000000000014</v>
      </c>
      <c r="E19" s="69">
        <f t="shared" si="0"/>
        <v>793.74</v>
      </c>
      <c r="F19" s="108"/>
    </row>
  </sheetData>
  <mergeCells count="1">
    <mergeCell ref="B2: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</vt:i4>
      </vt:variant>
    </vt:vector>
  </HeadingPairs>
  <TitlesOfParts>
    <vt:vector size="22" baseType="lpstr">
      <vt:lpstr>GFA</vt:lpstr>
      <vt:lpstr>Acc. Dep</vt:lpstr>
      <vt:lpstr>Depn. Cal'n</vt:lpstr>
      <vt:lpstr>Dep'n 23-27</vt:lpstr>
      <vt:lpstr>ROE Sheet</vt:lpstr>
      <vt:lpstr>ROE </vt:lpstr>
      <vt:lpstr>ROI</vt:lpstr>
      <vt:lpstr>Int on Loan Sheet</vt:lpstr>
      <vt:lpstr>Int. on Loan 24-26</vt:lpstr>
      <vt:lpstr>IoWC Cal'n</vt:lpstr>
      <vt:lpstr>vc</vt:lpstr>
      <vt:lpstr>IoWC 23-24</vt:lpstr>
      <vt:lpstr>F8-NTI</vt:lpstr>
      <vt:lpstr>additional pension</vt:lpstr>
      <vt:lpstr>O&amp;M</vt:lpstr>
      <vt:lpstr>Fixed Charges</vt:lpstr>
      <vt:lpstr>APPROVED</vt:lpstr>
      <vt:lpstr>GFA additions</vt:lpstr>
      <vt:lpstr>Variation</vt:lpstr>
      <vt:lpstr>ECR </vt:lpstr>
      <vt:lpstr>Sheet1</vt:lpstr>
      <vt:lpstr>GFA!Print_Area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2025-12-05T16:03:53Z</dcterms:modified>
</cp:coreProperties>
</file>